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tats" sheetId="1" r:id="rId1"/>
    <sheet name="Movement" sheetId="2" r:id="rId2"/>
    <sheet name="Type" sheetId="3" r:id="rId3"/>
    <sheet name="Role" sheetId="4" r:id="rId4"/>
    <sheet name="Size" sheetId="5" r:id="rId5"/>
  </sheets>
  <definedNames/>
  <calcPr fullCalcOnLoad="1"/>
</workbook>
</file>

<file path=xl/sharedStrings.xml><?xml version="1.0" encoding="utf-8"?>
<sst xmlns="http://schemas.openxmlformats.org/spreadsheetml/2006/main" count="525" uniqueCount="99">
  <si>
    <t>Name</t>
  </si>
  <si>
    <t>Threat</t>
  </si>
  <si>
    <t>Size</t>
  </si>
  <si>
    <t>Role</t>
  </si>
  <si>
    <t>Type</t>
  </si>
  <si>
    <t>Legged</t>
  </si>
  <si>
    <t>SIL</t>
  </si>
  <si>
    <t>BRN</t>
  </si>
  <si>
    <t>AGL</t>
  </si>
  <si>
    <t>INT</t>
  </si>
  <si>
    <t>CUN</t>
  </si>
  <si>
    <t>WPR</t>
  </si>
  <si>
    <t>PRE</t>
  </si>
  <si>
    <t>WS</t>
  </si>
  <si>
    <t>RS</t>
  </si>
  <si>
    <t>WT</t>
  </si>
  <si>
    <t>ST</t>
  </si>
  <si>
    <t>SK</t>
  </si>
  <si>
    <t>INI</t>
  </si>
  <si>
    <t>MOV</t>
  </si>
  <si>
    <t>xBRN</t>
  </si>
  <si>
    <t>tBRN</t>
  </si>
  <si>
    <t>xAGL</t>
  </si>
  <si>
    <t>tAGL</t>
  </si>
  <si>
    <t>Medium</t>
  </si>
  <si>
    <t xml:space="preserve">Artillery </t>
  </si>
  <si>
    <t>Elemental</t>
  </si>
  <si>
    <t>Biped</t>
  </si>
  <si>
    <t xml:space="preserve">Brute </t>
  </si>
  <si>
    <t xml:space="preserve">Expert </t>
  </si>
  <si>
    <t xml:space="preserve">Ninja </t>
  </si>
  <si>
    <t xml:space="preserve">Skirmisher </t>
  </si>
  <si>
    <t xml:space="preserve">Support </t>
  </si>
  <si>
    <t xml:space="preserve">Trickster </t>
  </si>
  <si>
    <t>Mob</t>
  </si>
  <si>
    <t>Monstrosity</t>
  </si>
  <si>
    <t>Animal</t>
  </si>
  <si>
    <t>Minuscule</t>
  </si>
  <si>
    <t>Diminutive</t>
  </si>
  <si>
    <t>Tiny</t>
  </si>
  <si>
    <t>Small</t>
  </si>
  <si>
    <t>Big</t>
  </si>
  <si>
    <t>Large</t>
  </si>
  <si>
    <t>Huge</t>
  </si>
  <si>
    <t>Gargantuan</t>
  </si>
  <si>
    <t>Colossal</t>
  </si>
  <si>
    <t>Titanic</t>
  </si>
  <si>
    <t>Humanoid</t>
  </si>
  <si>
    <t>Megalomanic</t>
  </si>
  <si>
    <t>Quadruped</t>
  </si>
  <si>
    <t>Movement Type</t>
  </si>
  <si>
    <t>BMR</t>
  </si>
  <si>
    <t>mMOV</t>
  </si>
  <si>
    <t>Multiped</t>
  </si>
  <si>
    <t>Octuped</t>
  </si>
  <si>
    <t>Hexaped</t>
  </si>
  <si>
    <t>Sharded</t>
  </si>
  <si>
    <t>Cunning</t>
  </si>
  <si>
    <t>Intellect</t>
  </si>
  <si>
    <t>Dexterity</t>
  </si>
  <si>
    <t>Presence</t>
  </si>
  <si>
    <t>Willpower</t>
  </si>
  <si>
    <t>Aberration</t>
  </si>
  <si>
    <t>Celestial</t>
  </si>
  <si>
    <t>Construct</t>
  </si>
  <si>
    <t>Dragon</t>
  </si>
  <si>
    <t>Fey</t>
  </si>
  <si>
    <t>Fiend</t>
  </si>
  <si>
    <t>Giant</t>
  </si>
  <si>
    <t>Ooze</t>
  </si>
  <si>
    <t>Plant</t>
  </si>
  <si>
    <t>Undead</t>
  </si>
  <si>
    <t>Melee</t>
  </si>
  <si>
    <t>Ranged</t>
  </si>
  <si>
    <t>Mental</t>
  </si>
  <si>
    <t>Vital</t>
  </si>
  <si>
    <t>SKM</t>
  </si>
  <si>
    <t>VTM</t>
  </si>
  <si>
    <t>INIM</t>
  </si>
  <si>
    <t>SPDM</t>
  </si>
  <si>
    <t>Multiplier</t>
  </si>
  <si>
    <t>M#2</t>
  </si>
  <si>
    <t>M#3</t>
  </si>
  <si>
    <t>M#4</t>
  </si>
  <si>
    <t>Silhouette</t>
  </si>
  <si>
    <t>Bite</t>
  </si>
  <si>
    <t>Claw</t>
  </si>
  <si>
    <t>Gore</t>
  </si>
  <si>
    <t>(#1)</t>
  </si>
  <si>
    <t>(#2)</t>
  </si>
  <si>
    <t>(#3)</t>
  </si>
  <si>
    <t>(#4)</t>
  </si>
  <si>
    <t>CR</t>
  </si>
  <si>
    <t>WTM</t>
  </si>
  <si>
    <t>-</t>
  </si>
  <si>
    <t>#1 – Hoof (L), Tentacle (N), Wings (N)</t>
  </si>
  <si>
    <t>#2 – Pincers (L), Tail Slap (N)</t>
  </si>
  <si>
    <t>#3 – Slam (N), Sting (L), Talons (L)</t>
  </si>
  <si>
    <t>#4 – Other (N/L)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</si>
</sst>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000"/>
    <numFmt numFmtId="167" formatCode="0.000"/>
    <numFmt numFmtId="168" formatCode="\+0;\-0"/>
    <numFmt numFmtId="169" formatCode="0"/>
  </numFmts>
  <fonts count="16">
    <font>
      <sz val="10"/>
      <name val="Arial"/>
      <family val="2"/>
    </font>
    <font>
      <sz val="10"/>
      <color indexed="8"/>
      <name val="FreeSans"/>
      <family val="2"/>
    </font>
    <font>
      <sz val="10"/>
      <name val="FreeSans"/>
      <family val="2"/>
    </font>
    <font>
      <sz val="10"/>
      <color indexed="63"/>
      <name val="FreeSans"/>
      <family val="2"/>
    </font>
    <font>
      <sz val="10"/>
      <color indexed="23"/>
      <name val="FreeSans"/>
      <family val="2"/>
    </font>
    <font>
      <u val="single"/>
      <sz val="10"/>
      <color indexed="12"/>
      <name val="FreeSans"/>
      <family val="2"/>
    </font>
    <font>
      <sz val="10"/>
      <color indexed="17"/>
      <name val="FreeSans"/>
      <family val="2"/>
    </font>
    <font>
      <sz val="10"/>
      <color indexed="19"/>
      <name val="FreeSans"/>
      <family val="2"/>
    </font>
    <font>
      <sz val="10"/>
      <color indexed="10"/>
      <name val="FreeSans"/>
      <family val="2"/>
    </font>
    <font>
      <sz val="10"/>
      <color indexed="9"/>
      <name val="FreeSans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9" fillId="6" borderId="0" applyNumberFormat="0" applyBorder="0" applyAlignment="0" applyProtection="0"/>
    <xf numFmtId="164" fontId="9" fillId="7" borderId="0" applyNumberFormat="0" applyBorder="0" applyAlignment="0" applyProtection="0"/>
    <xf numFmtId="164" fontId="1" fillId="8" borderId="0" applyNumberFormat="0" applyBorder="0" applyAlignment="0" applyProtection="0"/>
  </cellStyleXfs>
  <cellXfs count="23">
    <xf numFmtId="164" fontId="0" fillId="0" borderId="0" xfId="0" applyAlignment="1">
      <alignment/>
    </xf>
    <xf numFmtId="164" fontId="10" fillId="0" borderId="0" xfId="0" applyFont="1" applyAlignment="1">
      <alignment/>
    </xf>
    <xf numFmtId="164" fontId="10" fillId="0" borderId="0" xfId="0" applyFont="1" applyAlignment="1">
      <alignment horizontal="center"/>
    </xf>
    <xf numFmtId="164" fontId="10" fillId="0" borderId="0" xfId="0" applyFont="1" applyFill="1" applyAlignment="1">
      <alignment horizontal="center"/>
    </xf>
    <xf numFmtId="164" fontId="11" fillId="0" borderId="0" xfId="0" applyFont="1" applyFill="1" applyAlignment="1">
      <alignment/>
    </xf>
    <xf numFmtId="164" fontId="11" fillId="0" borderId="0" xfId="0" applyFont="1" applyFill="1" applyAlignment="1">
      <alignment horizontal="center"/>
    </xf>
    <xf numFmtId="164" fontId="10" fillId="0" borderId="0" xfId="0" applyFont="1" applyFill="1" applyAlignment="1">
      <alignment/>
    </xf>
    <xf numFmtId="164" fontId="12" fillId="0" borderId="0" xfId="0" applyFont="1" applyFill="1" applyAlignment="1">
      <alignment horizontal="center"/>
    </xf>
    <xf numFmtId="164" fontId="13" fillId="0" borderId="0" xfId="0" applyFont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Alignment="1">
      <alignment horizontal="center"/>
    </xf>
    <xf numFmtId="164" fontId="10" fillId="0" borderId="0" xfId="0" applyFont="1" applyAlignment="1">
      <alignment wrapText="1"/>
    </xf>
    <xf numFmtId="166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/>
    </xf>
    <xf numFmtId="167" fontId="1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9" fontId="10" fillId="0" borderId="0" xfId="0" applyNumberFormat="1" applyFont="1" applyAlignment="1">
      <alignment horizontal="center"/>
    </xf>
    <xf numFmtId="164" fontId="15" fillId="0" borderId="0" xfId="0" applyFont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dxfs count="1">
    <dxf>
      <font>
        <b val="0"/>
        <i val="0"/>
        <sz val="10"/>
        <color rgb="FF996600"/>
      </font>
      <fill>
        <patternFill patternType="solid">
          <fgColor rgb="FFFFFFFF"/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9"/>
  <sheetViews>
    <sheetView tabSelected="1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79" sqref="F79"/>
    </sheetView>
  </sheetViews>
  <sheetFormatPr defaultColWidth="10.28125" defaultRowHeight="12.75"/>
  <cols>
    <col min="1" max="1" width="11.57421875" style="1" customWidth="1"/>
    <col min="2" max="2" width="6.421875" style="2" customWidth="1"/>
    <col min="3" max="5" width="11.57421875" style="1" customWidth="1"/>
    <col min="6" max="6" width="12.28125" style="1" customWidth="1"/>
    <col min="7" max="20" width="6.140625" style="3" customWidth="1"/>
    <col min="21" max="23" width="6.140625" style="2" customWidth="1"/>
    <col min="24" max="24" width="6.140625" style="1" customWidth="1"/>
    <col min="25" max="28" width="6.140625" style="2" customWidth="1"/>
    <col min="29" max="16384" width="11.57421875" style="1" customWidth="1"/>
  </cols>
  <sheetData>
    <row r="1" spans="1:28" s="6" customFormat="1" ht="12.7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/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/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3"/>
      <c r="V1" s="5" t="s">
        <v>18</v>
      </c>
      <c r="W1" s="5" t="s">
        <v>19</v>
      </c>
      <c r="Y1" s="7" t="s">
        <v>20</v>
      </c>
      <c r="Z1" s="7" t="s">
        <v>21</v>
      </c>
      <c r="AA1" s="7" t="s">
        <v>22</v>
      </c>
      <c r="AB1" s="7" t="s">
        <v>23</v>
      </c>
    </row>
    <row r="2" spans="2:28" ht="12.75">
      <c r="B2" s="2">
        <v>2</v>
      </c>
      <c r="C2" s="1" t="s">
        <v>24</v>
      </c>
      <c r="D2" s="1" t="s">
        <v>25</v>
      </c>
      <c r="E2" s="1" t="s">
        <v>26</v>
      </c>
      <c r="F2" s="1" t="s">
        <v>27</v>
      </c>
      <c r="G2" s="3">
        <f>VLOOKUP($C2,Size!$A$2:$F$13,6,0)</f>
        <v>1</v>
      </c>
      <c r="I2" s="3">
        <f>INT(VLOOKUP($C2,Size!$A$2:$Z$13,16,0)*$B2/3)</f>
        <v>2</v>
      </c>
      <c r="J2" s="3">
        <f>INT(($B2*VLOOKUP($E2,Type!$A$2:$U$15,12,0))+((VLOOKUP($E2,Type!$A$2:$U$15,13,0)-VLOOKUP($E2,Type!$A$2:$U$15,12,0))*VLOOKUP($C2,Size!$A$2:$Z$13,17,0)*$B2))</f>
        <v>4</v>
      </c>
      <c r="K2" s="3">
        <f>INT(($B2*VLOOKUP($E2,Type!$A$2:$U$15,8,0))+((VLOOKUP($E2,Type!$A$2:$U$15,9,0)-VLOOKUP($E2,Type!$A$2:$U$15,8,0))*VLOOKUP($D2,Role!$A$2:$O$9,10,0)*$B2))</f>
        <v>2</v>
      </c>
      <c r="L2" s="3">
        <f>INT(($B2*VLOOKUP($E2,Type!$A$2:$U$15,4,0))+((VLOOKUP($E2,Type!$A$2:$U$15,5,0)-VLOOKUP($E2,Type!$A$2:$U$15,4,0))*$B2))</f>
        <v>1</v>
      </c>
      <c r="M2" s="3">
        <f>INT($B2*VLOOKUP($D2,Role!$A$2:$O$9,10,0)*VLOOKUP($D2,Role!$A$2:$O$9,11,0))</f>
        <v>1</v>
      </c>
      <c r="N2" s="3">
        <f>INT(($B2*VLOOKUP($E2,Type!$A$2:$U$15,20,0))+((VLOOKUP($E2,Type!$A$2:$U$15,21,0)-VLOOKUP($E2,Type!$A$2:$U$15,20,0))*$B2))</f>
        <v>1</v>
      </c>
      <c r="P2" s="3">
        <f>INT(VLOOKUP($D2,Role!$A$2:$O$9,8,0)*$B2)</f>
        <v>1</v>
      </c>
      <c r="Q2" s="3">
        <f>INT(VLOOKUP($D2,Role!$A$2:$O$9,9,0)*$B2)</f>
        <v>2</v>
      </c>
      <c r="R2" s="3">
        <f>INT(VLOOKUP($C2,Size!$A$2:$Z$13,18,0)*VLOOKUP($D2,Role!$A$2:$O$9,13,0)*$B2/2)</f>
        <v>8</v>
      </c>
      <c r="S2" s="3">
        <f>INT((10+$M2)*VLOOKUP($D2,Role!$A$2:$O$9,14,0))</f>
        <v>8</v>
      </c>
      <c r="T2" s="3">
        <f>INT($I2*VLOOKUP($D2,Role!$A$2:$O$9,12,0))</f>
        <v>1</v>
      </c>
      <c r="V2" s="2">
        <f>ROUND(MAX($J2,$L2)+(MIN($J2,$L2)*VLOOKUP($D2,Role!$A$2:$O$9,14,0)),0)</f>
        <v>5</v>
      </c>
      <c r="W2" s="2">
        <f>MAX(1,INT(((MIN($I2:$J2)+(MAX($I2:$J2)*$G2*VLOOKUP($D2,Role!$A$2:$O$9,15,0))))*VLOOKUP($F2,Movement!$A$2:$C$7,3,0)))</f>
        <v>4</v>
      </c>
      <c r="Y2" s="2">
        <f aca="true" t="shared" si="0" ref="Y2:Y49">INT(5+(($G2-1)/3))</f>
        <v>5</v>
      </c>
      <c r="Z2" s="2">
        <f aca="true" t="shared" si="1" ref="Z2:Z49">IF($Y2&lt;$I2,$I2-$Y2,0)</f>
        <v>0</v>
      </c>
      <c r="AA2" s="2">
        <f aca="true" t="shared" si="2" ref="AA2:AA49">(5-ROUND(($G2-1)/3,0))</f>
        <v>5</v>
      </c>
      <c r="AB2" s="2">
        <f aca="true" t="shared" si="3" ref="AB2:AB49">IF($AA2&lt;$J2,$J2-$AA2,0)</f>
        <v>0</v>
      </c>
    </row>
    <row r="3" spans="2:28" ht="12.75">
      <c r="B3" s="2">
        <v>2</v>
      </c>
      <c r="C3" s="1" t="s">
        <v>24</v>
      </c>
      <c r="D3" s="1" t="s">
        <v>28</v>
      </c>
      <c r="E3" s="1" t="s">
        <v>26</v>
      </c>
      <c r="F3" s="1" t="s">
        <v>27</v>
      </c>
      <c r="G3" s="3">
        <f>VLOOKUP($C3,Size!$A$2:$F$13,6,0)</f>
        <v>1</v>
      </c>
      <c r="I3" s="3">
        <f>INT(VLOOKUP($C3,Size!$A$2:$Z$13,16,0)*$B3/3)</f>
        <v>2</v>
      </c>
      <c r="J3" s="3">
        <f>INT(($B3*VLOOKUP($E3,Type!$A$2:$U$15,12,0))+((VLOOKUP($E3,Type!$A$2:$U$15,13,0)-VLOOKUP($E3,Type!$A$2:$U$15,12,0))*VLOOKUP($C3,Size!$A$2:$Z$13,17,0)*$B3))</f>
        <v>4</v>
      </c>
      <c r="K3" s="3">
        <f>INT(($B3*VLOOKUP($E3,Type!$A$2:$U$15,8,0))+((VLOOKUP($E3,Type!$A$2:$U$15,9,0)-VLOOKUP($E3,Type!$A$2:$U$15,8,0))*VLOOKUP($D3,Role!$A$2:$O$9,10,0)*$B3))</f>
        <v>1</v>
      </c>
      <c r="L3" s="3">
        <f>INT(($B3*VLOOKUP($E3,Type!$A$2:$U$15,4,0))+((VLOOKUP($E3,Type!$A$2:$U$15,5,0)-VLOOKUP($E3,Type!$A$2:$U$15,4,0))*$B3))</f>
        <v>1</v>
      </c>
      <c r="M3" s="3">
        <f>INT($B3*VLOOKUP($D3,Role!$A$2:$O$9,10,0)*VLOOKUP($D3,Role!$A$2:$O$9,11,0))</f>
        <v>1</v>
      </c>
      <c r="N3" s="3">
        <f>INT(($B3*VLOOKUP($E3,Type!$A$2:$U$15,20,0))+((VLOOKUP($E3,Type!$A$2:$U$15,21,0)-VLOOKUP($E3,Type!$A$2:$U$15,20,0))*$B3))</f>
        <v>1</v>
      </c>
      <c r="P3" s="3">
        <f>INT(VLOOKUP($D3,Role!$A$2:$O$9,8,0)*$B3)</f>
        <v>2</v>
      </c>
      <c r="Q3" s="3">
        <f>INT(VLOOKUP($D3,Role!$A$2:$O$9,9,0)*$B3)</f>
        <v>1</v>
      </c>
      <c r="R3" s="3">
        <f>INT(VLOOKUP($C3,Size!$A$2:$Z$13,18,0)*VLOOKUP($D3,Role!$A$2:$O$9,13,0)*$B3/2)</f>
        <v>26</v>
      </c>
      <c r="S3" s="3">
        <f>INT((10+$M3)*VLOOKUP($D3,Role!$A$2:$O$9,14,0))</f>
        <v>5</v>
      </c>
      <c r="T3" s="3">
        <f>INT($I3*VLOOKUP($D3,Role!$A$2:$O$9,12,0))</f>
        <v>3</v>
      </c>
      <c r="V3" s="2">
        <f>ROUND(MAX($J3,$L3)+(MIN($J3,$L3)*VLOOKUP($D3,Role!$A$2:$O$9,14,0)),0)</f>
        <v>5</v>
      </c>
      <c r="W3" s="2">
        <f>MAX(1,INT(((MIN($I3:$J3)+(MAX($I3:$J3)*$G3*VLOOKUP($D3,Role!$A$2:$O$9,15,0))))*VLOOKUP($F3,Movement!$A$2:$C$7,3,0)))</f>
        <v>4</v>
      </c>
      <c r="Y3" s="2">
        <f t="shared" si="0"/>
        <v>5</v>
      </c>
      <c r="Z3" s="2">
        <f t="shared" si="1"/>
        <v>0</v>
      </c>
      <c r="AA3" s="2">
        <f t="shared" si="2"/>
        <v>5</v>
      </c>
      <c r="AB3" s="2">
        <f t="shared" si="3"/>
        <v>0</v>
      </c>
    </row>
    <row r="4" spans="2:28" ht="12.75">
      <c r="B4" s="2">
        <v>2</v>
      </c>
      <c r="C4" s="1" t="s">
        <v>24</v>
      </c>
      <c r="D4" s="1" t="s">
        <v>29</v>
      </c>
      <c r="E4" s="1" t="s">
        <v>26</v>
      </c>
      <c r="F4" s="1" t="s">
        <v>27</v>
      </c>
      <c r="G4" s="3">
        <f>VLOOKUP($C4,Size!$A$2:$F$13,6,0)</f>
        <v>1</v>
      </c>
      <c r="I4" s="3">
        <f>INT(VLOOKUP($C4,Size!$A$2:$Z$13,16,0)*$B4/3)</f>
        <v>2</v>
      </c>
      <c r="J4" s="3">
        <f>INT(($B4*VLOOKUP($E4,Type!$A$2:$U$15,12,0))+((VLOOKUP($E4,Type!$A$2:$U$15,13,0)-VLOOKUP($E4,Type!$A$2:$U$15,12,0))*VLOOKUP($C4,Size!$A$2:$Z$13,17,0)*$B4))</f>
        <v>4</v>
      </c>
      <c r="K4" s="3">
        <f>INT(($B4*VLOOKUP($E4,Type!$A$2:$U$15,8,0))+((VLOOKUP($E4,Type!$A$2:$U$15,9,0)-VLOOKUP($E4,Type!$A$2:$U$15,8,0))*VLOOKUP($D4,Role!$A$2:$O$9,10,0)*$B4))</f>
        <v>2</v>
      </c>
      <c r="L4" s="3">
        <f>INT(($B4*VLOOKUP($E4,Type!$A$2:$U$15,4,0))+((VLOOKUP($E4,Type!$A$2:$U$15,5,0)-VLOOKUP($E4,Type!$A$2:$U$15,4,0))*$B4))</f>
        <v>1</v>
      </c>
      <c r="M4" s="3">
        <f>INT($B4*VLOOKUP($D4,Role!$A$2:$O$9,10,0)*VLOOKUP($D4,Role!$A$2:$O$9,11,0))</f>
        <v>1</v>
      </c>
      <c r="N4" s="3">
        <f>INT(($B4*VLOOKUP($E4,Type!$A$2:$U$15,20,0))+((VLOOKUP($E4,Type!$A$2:$U$15,21,0)-VLOOKUP($E4,Type!$A$2:$U$15,20,0))*$B4))</f>
        <v>1</v>
      </c>
      <c r="P4" s="3">
        <f>INT(VLOOKUP($D4,Role!$A$2:$O$9,8,0)*$B4)</f>
        <v>1</v>
      </c>
      <c r="Q4" s="3">
        <f>INT(VLOOKUP($D4,Role!$A$2:$O$9,9,0)*$B4)</f>
        <v>2</v>
      </c>
      <c r="R4" s="3">
        <f>INT(VLOOKUP($C4,Size!$A$2:$Z$13,18,0)*VLOOKUP($D4,Role!$A$2:$O$9,13,0)*$B4/2)</f>
        <v>13</v>
      </c>
      <c r="S4" s="3">
        <f>INT((10+$M4)*VLOOKUP($D4,Role!$A$2:$O$9,14,0))</f>
        <v>5</v>
      </c>
      <c r="T4" s="3">
        <f>INT($I4*VLOOKUP($D4,Role!$A$2:$O$9,12,0))</f>
        <v>1</v>
      </c>
      <c r="V4" s="2">
        <f>ROUND(MAX($J4,$L4)+(MIN($J4,$L4)*VLOOKUP($D4,Role!$A$2:$O$9,14,0)),0)</f>
        <v>5</v>
      </c>
      <c r="W4" s="2">
        <f>MAX(1,INT(((MIN($I4:$J4)+(MAX($I4:$J4)*$G4*VLOOKUP($D4,Role!$A$2:$O$9,15,0))))*VLOOKUP($F4,Movement!$A$2:$C$7,3,0)))</f>
        <v>6</v>
      </c>
      <c r="Y4" s="2">
        <f t="shared" si="0"/>
        <v>5</v>
      </c>
      <c r="Z4" s="2">
        <f t="shared" si="1"/>
        <v>0</v>
      </c>
      <c r="AA4" s="2">
        <f t="shared" si="2"/>
        <v>5</v>
      </c>
      <c r="AB4" s="2">
        <f t="shared" si="3"/>
        <v>0</v>
      </c>
    </row>
    <row r="5" spans="2:28" ht="12.75">
      <c r="B5" s="2">
        <v>2</v>
      </c>
      <c r="C5" s="1" t="s">
        <v>24</v>
      </c>
      <c r="D5" s="1" t="s">
        <v>30</v>
      </c>
      <c r="E5" s="1" t="s">
        <v>26</v>
      </c>
      <c r="F5" s="1" t="s">
        <v>27</v>
      </c>
      <c r="G5" s="3">
        <f>VLOOKUP($C5,Size!$A$2:$F$13,6,0)</f>
        <v>1</v>
      </c>
      <c r="I5" s="3">
        <f>INT(VLOOKUP($C5,Size!$A$2:$Z$13,16,0)*$B5/3)</f>
        <v>2</v>
      </c>
      <c r="J5" s="3">
        <f>INT(($B5*VLOOKUP($E5,Type!$A$2:$U$15,12,0))+((VLOOKUP($E5,Type!$A$2:$U$15,13,0)-VLOOKUP($E5,Type!$A$2:$U$15,12,0))*VLOOKUP($C5,Size!$A$2:$Z$13,17,0)*$B5))</f>
        <v>4</v>
      </c>
      <c r="K5" s="3">
        <f>INT(($B5*VLOOKUP($E5,Type!$A$2:$U$15,8,0))+((VLOOKUP($E5,Type!$A$2:$U$15,9,0)-VLOOKUP($E5,Type!$A$2:$U$15,8,0))*VLOOKUP($D5,Role!$A$2:$O$9,10,0)*$B5))</f>
        <v>1</v>
      </c>
      <c r="L5" s="3">
        <f>INT(($B5*VLOOKUP($E5,Type!$A$2:$U$15,4,0))+((VLOOKUP($E5,Type!$A$2:$U$15,5,0)-VLOOKUP($E5,Type!$A$2:$U$15,4,0))*$B5))</f>
        <v>1</v>
      </c>
      <c r="M5" s="3">
        <f>INT($B5*VLOOKUP($D5,Role!$A$2:$O$9,10,0)*VLOOKUP($D5,Role!$A$2:$O$9,11,0))</f>
        <v>1</v>
      </c>
      <c r="N5" s="3">
        <f>INT(($B5*VLOOKUP($E5,Type!$A$2:$U$15,20,0))+((VLOOKUP($E5,Type!$A$2:$U$15,21,0)-VLOOKUP($E5,Type!$A$2:$U$15,20,0))*$B5))</f>
        <v>1</v>
      </c>
      <c r="P5" s="3">
        <f>INT(VLOOKUP($D5,Role!$A$2:$O$9,8,0)*$B5)</f>
        <v>2</v>
      </c>
      <c r="Q5" s="3">
        <f>INT(VLOOKUP($D5,Role!$A$2:$O$9,9,0)*$B5)</f>
        <v>2</v>
      </c>
      <c r="R5" s="3">
        <f>INT(VLOOKUP($C5,Size!$A$2:$Z$13,18,0)*VLOOKUP($D5,Role!$A$2:$O$9,13,0)*$B5/2)</f>
        <v>17</v>
      </c>
      <c r="S5" s="3">
        <f>INT((10+$M5)*VLOOKUP($D5,Role!$A$2:$O$9,14,0))</f>
        <v>11</v>
      </c>
      <c r="T5" s="3">
        <f>INT($I5*VLOOKUP($D5,Role!$A$2:$O$9,12,0))</f>
        <v>2</v>
      </c>
      <c r="V5" s="2">
        <f>ROUND(MAX($J5,$L5)+(MIN($J5,$L5)*VLOOKUP($D5,Role!$A$2:$O$9,14,0)),0)</f>
        <v>5</v>
      </c>
      <c r="W5" s="2">
        <f>MAX(1,INT(((MIN($I5:$J5)+(MAX($I5:$J5)*$G5*VLOOKUP($D5,Role!$A$2:$O$9,15,0))))*VLOOKUP($F5,Movement!$A$2:$C$7,3,0)))</f>
        <v>8</v>
      </c>
      <c r="Y5" s="2">
        <f t="shared" si="0"/>
        <v>5</v>
      </c>
      <c r="Z5" s="2">
        <f t="shared" si="1"/>
        <v>0</v>
      </c>
      <c r="AA5" s="2">
        <f t="shared" si="2"/>
        <v>5</v>
      </c>
      <c r="AB5" s="2">
        <f t="shared" si="3"/>
        <v>0</v>
      </c>
    </row>
    <row r="6" spans="2:28" ht="12.75">
      <c r="B6" s="2">
        <v>2</v>
      </c>
      <c r="C6" s="1" t="s">
        <v>24</v>
      </c>
      <c r="D6" s="1" t="s">
        <v>31</v>
      </c>
      <c r="E6" s="1" t="s">
        <v>26</v>
      </c>
      <c r="F6" s="1" t="s">
        <v>27</v>
      </c>
      <c r="G6" s="3">
        <f>VLOOKUP($C6,Size!$A$2:$F$13,6,0)</f>
        <v>1</v>
      </c>
      <c r="I6" s="3">
        <f>INT(VLOOKUP($C6,Size!$A$2:$Z$13,16,0)*$B6/3)</f>
        <v>2</v>
      </c>
      <c r="J6" s="3">
        <f>INT(($B6*VLOOKUP($E6,Type!$A$2:$U$15,12,0))+((VLOOKUP($E6,Type!$A$2:$U$15,13,0)-VLOOKUP($E6,Type!$A$2:$U$15,12,0))*VLOOKUP($C6,Size!$A$2:$Z$13,17,0)*$B6))</f>
        <v>4</v>
      </c>
      <c r="K6" s="3">
        <f>INT(($B6*VLOOKUP($E6,Type!$A$2:$U$15,8,0))+((VLOOKUP($E6,Type!$A$2:$U$15,9,0)-VLOOKUP($E6,Type!$A$2:$U$15,8,0))*VLOOKUP($D6,Role!$A$2:$O$9,10,0)*$B6))</f>
        <v>2</v>
      </c>
      <c r="L6" s="3">
        <f>INT(($B6*VLOOKUP($E6,Type!$A$2:$U$15,4,0))+((VLOOKUP($E6,Type!$A$2:$U$15,5,0)-VLOOKUP($E6,Type!$A$2:$U$15,4,0))*$B6))</f>
        <v>1</v>
      </c>
      <c r="M6" s="3">
        <f>INT($B6*VLOOKUP($D6,Role!$A$2:$O$9,10,0)*VLOOKUP($D6,Role!$A$2:$O$9,11,0))</f>
        <v>2</v>
      </c>
      <c r="N6" s="3">
        <f>INT(($B6*VLOOKUP($E6,Type!$A$2:$U$15,20,0))+((VLOOKUP($E6,Type!$A$2:$U$15,21,0)-VLOOKUP($E6,Type!$A$2:$U$15,20,0))*$B6))</f>
        <v>1</v>
      </c>
      <c r="P6" s="3">
        <f>INT(VLOOKUP($D6,Role!$A$2:$O$9,8,0)*$B6)</f>
        <v>1</v>
      </c>
      <c r="Q6" s="3">
        <f>INT(VLOOKUP($D6,Role!$A$2:$O$9,9,0)*$B6)</f>
        <v>2</v>
      </c>
      <c r="R6" s="3">
        <f>INT(VLOOKUP($C6,Size!$A$2:$Z$13,18,0)*VLOOKUP($D6,Role!$A$2:$O$9,13,0)*$B6/2)</f>
        <v>13</v>
      </c>
      <c r="S6" s="3">
        <f>INT((10+$M6)*VLOOKUP($D6,Role!$A$2:$O$9,14,0))</f>
        <v>9</v>
      </c>
      <c r="T6" s="3">
        <f>INT($I6*VLOOKUP($D6,Role!$A$2:$O$9,12,0))</f>
        <v>1</v>
      </c>
      <c r="V6" s="2">
        <f>ROUND(MAX($J6,$L6)+(MIN($J6,$L6)*VLOOKUP($D6,Role!$A$2:$O$9,14,0)),0)</f>
        <v>5</v>
      </c>
      <c r="W6" s="2">
        <f>MAX(1,INT(((MIN($I6:$J6)+(MAX($I6:$J6)*$G6*VLOOKUP($D6,Role!$A$2:$O$9,15,0))))*VLOOKUP($F6,Movement!$A$2:$C$7,3,0)))</f>
        <v>8</v>
      </c>
      <c r="Y6" s="2">
        <f t="shared" si="0"/>
        <v>5</v>
      </c>
      <c r="Z6" s="2">
        <f t="shared" si="1"/>
        <v>0</v>
      </c>
      <c r="AA6" s="2">
        <f t="shared" si="2"/>
        <v>5</v>
      </c>
      <c r="AB6" s="2">
        <f t="shared" si="3"/>
        <v>0</v>
      </c>
    </row>
    <row r="7" spans="2:28" ht="12.75">
      <c r="B7" s="2">
        <v>2</v>
      </c>
      <c r="C7" s="1" t="s">
        <v>24</v>
      </c>
      <c r="D7" s="1" t="s">
        <v>32</v>
      </c>
      <c r="E7" s="1" t="s">
        <v>26</v>
      </c>
      <c r="F7" s="1" t="s">
        <v>27</v>
      </c>
      <c r="G7" s="3">
        <f>VLOOKUP($C7,Size!$A$2:$F$13,6,0)</f>
        <v>1</v>
      </c>
      <c r="I7" s="3">
        <f>INT(VLOOKUP($C7,Size!$A$2:$Z$13,16,0)*$B7/3)</f>
        <v>2</v>
      </c>
      <c r="J7" s="3">
        <f>INT(($B7*VLOOKUP($E7,Type!$A$2:$U$15,12,0))+((VLOOKUP($E7,Type!$A$2:$U$15,13,0)-VLOOKUP($E7,Type!$A$2:$U$15,12,0))*VLOOKUP($C7,Size!$A$2:$Z$13,17,0)*$B7))</f>
        <v>4</v>
      </c>
      <c r="K7" s="3">
        <f>INT(($B7*VLOOKUP($E7,Type!$A$2:$U$15,8,0))+((VLOOKUP($E7,Type!$A$2:$U$15,9,0)-VLOOKUP($E7,Type!$A$2:$U$15,8,0))*VLOOKUP($D7,Role!$A$2:$O$9,10,0)*$B7))</f>
        <v>2</v>
      </c>
      <c r="L7" s="3">
        <f>INT(($B7*VLOOKUP($E7,Type!$A$2:$U$15,4,0))+((VLOOKUP($E7,Type!$A$2:$U$15,5,0)-VLOOKUP($E7,Type!$A$2:$U$15,4,0))*$B7))</f>
        <v>1</v>
      </c>
      <c r="M7" s="3">
        <f>INT($B7*VLOOKUP($D7,Role!$A$2:$O$9,10,0)*VLOOKUP($D7,Role!$A$2:$O$9,11,0))</f>
        <v>2</v>
      </c>
      <c r="N7" s="3">
        <f>INT(($B7*VLOOKUP($E7,Type!$A$2:$U$15,20,0))+((VLOOKUP($E7,Type!$A$2:$U$15,21,0)-VLOOKUP($E7,Type!$A$2:$U$15,20,0))*$B7))</f>
        <v>1</v>
      </c>
      <c r="P7" s="3">
        <f>INT(VLOOKUP($D7,Role!$A$2:$O$9,8,0)*$B7)</f>
        <v>2</v>
      </c>
      <c r="Q7" s="3">
        <f>INT(VLOOKUP($D7,Role!$A$2:$O$9,9,0)*$B7)</f>
        <v>2</v>
      </c>
      <c r="R7" s="3">
        <f>INT(VLOOKUP($C7,Size!$A$2:$Z$13,18,0)*VLOOKUP($D7,Role!$A$2:$O$9,13,0)*$B7/2)</f>
        <v>17</v>
      </c>
      <c r="S7" s="3">
        <f>INT((10+$M7)*VLOOKUP($D7,Role!$A$2:$O$9,14,0))</f>
        <v>9</v>
      </c>
      <c r="T7" s="3">
        <f>INT($I7*VLOOKUP($D7,Role!$A$2:$O$9,12,0))</f>
        <v>2</v>
      </c>
      <c r="V7" s="2">
        <f>ROUND(MAX($J7,$L7)+(MIN($J7,$L7)*VLOOKUP($D7,Role!$A$2:$O$9,14,0)),0)</f>
        <v>5</v>
      </c>
      <c r="W7" s="2">
        <f>MAX(1,INT(((MIN($I7:$J7)+(MAX($I7:$J7)*$G7*VLOOKUP($D7,Role!$A$2:$O$9,15,0))))*VLOOKUP($F7,Movement!$A$2:$C$7,3,0)))</f>
        <v>6</v>
      </c>
      <c r="Y7" s="2">
        <f t="shared" si="0"/>
        <v>5</v>
      </c>
      <c r="Z7" s="2">
        <f t="shared" si="1"/>
        <v>0</v>
      </c>
      <c r="AA7" s="2">
        <f t="shared" si="2"/>
        <v>5</v>
      </c>
      <c r="AB7" s="2">
        <f t="shared" si="3"/>
        <v>0</v>
      </c>
    </row>
    <row r="8" spans="2:28" ht="12.75">
      <c r="B8" s="2">
        <v>2</v>
      </c>
      <c r="C8" s="1" t="s">
        <v>24</v>
      </c>
      <c r="D8" s="1" t="s">
        <v>33</v>
      </c>
      <c r="E8" s="1" t="s">
        <v>26</v>
      </c>
      <c r="F8" s="1" t="s">
        <v>27</v>
      </c>
      <c r="G8" s="3">
        <f>VLOOKUP($C8,Size!$A$2:$F$13,6,0)</f>
        <v>1</v>
      </c>
      <c r="I8" s="3">
        <f>INT(VLOOKUP($C8,Size!$A$2:$Z$13,16,0)*$B8/3)</f>
        <v>2</v>
      </c>
      <c r="J8" s="3">
        <f>INT(($B8*VLOOKUP($E8,Type!$A$2:$U$15,12,0))+((VLOOKUP($E8,Type!$A$2:$U$15,13,0)-VLOOKUP($E8,Type!$A$2:$U$15,12,0))*VLOOKUP($C8,Size!$A$2:$Z$13,17,0)*$B8))</f>
        <v>4</v>
      </c>
      <c r="K8" s="3">
        <f>INT(($B8*VLOOKUP($E8,Type!$A$2:$U$15,8,0))+((VLOOKUP($E8,Type!$A$2:$U$15,9,0)-VLOOKUP($E8,Type!$A$2:$U$15,8,0))*VLOOKUP($D8,Role!$A$2:$O$9,10,0)*$B8))</f>
        <v>2</v>
      </c>
      <c r="L8" s="3">
        <f>INT(($B8*VLOOKUP($E8,Type!$A$2:$U$15,4,0))+((VLOOKUP($E8,Type!$A$2:$U$15,5,0)-VLOOKUP($E8,Type!$A$2:$U$15,4,0))*$B8))</f>
        <v>1</v>
      </c>
      <c r="M8" s="3">
        <f>INT($B8*VLOOKUP($D8,Role!$A$2:$O$9,10,0)*VLOOKUP($D8,Role!$A$2:$O$9,11,0))</f>
        <v>1</v>
      </c>
      <c r="N8" s="3">
        <f>INT(($B8*VLOOKUP($E8,Type!$A$2:$U$15,20,0))+((VLOOKUP($E8,Type!$A$2:$U$15,21,0)-VLOOKUP($E8,Type!$A$2:$U$15,20,0))*$B8))</f>
        <v>1</v>
      </c>
      <c r="P8" s="3">
        <f>INT(VLOOKUP($D8,Role!$A$2:$O$9,8,0)*$B8)</f>
        <v>1</v>
      </c>
      <c r="Q8" s="3">
        <f>INT(VLOOKUP($D8,Role!$A$2:$O$9,9,0)*$B8)</f>
        <v>2</v>
      </c>
      <c r="R8" s="3">
        <f>INT(VLOOKUP($C8,Size!$A$2:$Z$13,18,0)*VLOOKUP($D8,Role!$A$2:$O$9,13,0)*$B8/2)</f>
        <v>13</v>
      </c>
      <c r="S8" s="3">
        <f>INT((10+$M8)*VLOOKUP($D8,Role!$A$2:$O$9,14,0))</f>
        <v>11</v>
      </c>
      <c r="T8" s="3">
        <f>INT($I8*VLOOKUP($D8,Role!$A$2:$O$9,12,0))</f>
        <v>1</v>
      </c>
      <c r="V8" s="2">
        <f>ROUND(MAX($J8,$L8)+(MIN($J8,$L8)*VLOOKUP($D8,Role!$A$2:$O$9,14,0)),0)</f>
        <v>5</v>
      </c>
      <c r="W8" s="2">
        <f>MAX(1,INT(((MIN($I8:$J8)+(MAX($I8:$J8)*$G8*VLOOKUP($D8,Role!$A$2:$O$9,15,0))))*VLOOKUP($F8,Movement!$A$2:$C$7,3,0)))</f>
        <v>8</v>
      </c>
      <c r="Y8" s="2">
        <f t="shared" si="0"/>
        <v>5</v>
      </c>
      <c r="Z8" s="2">
        <f t="shared" si="1"/>
        <v>0</v>
      </c>
      <c r="AA8" s="2">
        <f t="shared" si="2"/>
        <v>5</v>
      </c>
      <c r="AB8" s="2">
        <f t="shared" si="3"/>
        <v>0</v>
      </c>
    </row>
    <row r="9" spans="2:28" ht="12.75">
      <c r="B9" s="2">
        <v>2</v>
      </c>
      <c r="C9" s="1" t="s">
        <v>24</v>
      </c>
      <c r="D9" s="1" t="s">
        <v>34</v>
      </c>
      <c r="E9" s="1" t="s">
        <v>35</v>
      </c>
      <c r="F9" s="1" t="s">
        <v>27</v>
      </c>
      <c r="G9" s="3">
        <f>VLOOKUP($C9,Size!$A$2:$F$13,6,0)</f>
        <v>1</v>
      </c>
      <c r="I9" s="3">
        <f>INT(VLOOKUP($C9,Size!$A$2:$Z$13,16,0)*$B9/3)</f>
        <v>2</v>
      </c>
      <c r="J9" s="3">
        <f>INT(($B9*VLOOKUP($E9,Type!$A$2:$U$15,12,0))+((VLOOKUP($E9,Type!$A$2:$U$15,13,0)-VLOOKUP($E9,Type!$A$2:$U$15,12,0))*VLOOKUP($C9,Size!$A$2:$Z$13,17,0)*$B9))</f>
        <v>3</v>
      </c>
      <c r="K9" s="3">
        <f>INT(($B9*VLOOKUP($E9,Type!$A$2:$U$15,8,0))+((VLOOKUP($E9,Type!$A$2:$U$15,9,0)-VLOOKUP($E9,Type!$A$2:$U$15,8,0))*VLOOKUP($D9,Role!$A$2:$O$9,10,0)*$B9))</f>
        <v>1</v>
      </c>
      <c r="L9" s="3">
        <f>INT(($B9*VLOOKUP($E9,Type!$A$2:$U$15,4,0))+((VLOOKUP($E9,Type!$A$2:$U$15,5,0)-VLOOKUP($E9,Type!$A$2:$U$15,4,0))*$B9))</f>
        <v>1</v>
      </c>
      <c r="M9" s="3">
        <f>INT($B9*VLOOKUP($D9,Role!$A$2:$O$9,10,0)*VLOOKUP($D9,Role!$A$2:$O$9,11,0))</f>
        <v>2</v>
      </c>
      <c r="N9" s="3">
        <f>INT(($B9*VLOOKUP($E9,Type!$A$2:$U$15,20,0))+((VLOOKUP($E9,Type!$A$2:$U$15,21,0)-VLOOKUP($E9,Type!$A$2:$U$15,20,0))*$B9))</f>
        <v>2</v>
      </c>
      <c r="P9" s="3">
        <f>INT(VLOOKUP($D9,Role!$A$2:$O$9,8,0)*$B9)</f>
        <v>2</v>
      </c>
      <c r="Q9" s="3">
        <f>INT(VLOOKUP($D9,Role!$A$2:$O$9,9,0)*$B9)</f>
        <v>2</v>
      </c>
      <c r="R9" s="3">
        <f>INT(VLOOKUP($C9,Size!$A$2:$Z$13,18,0)*VLOOKUP($D9,Role!$A$2:$O$9,13,0)*$B9/2)</f>
        <v>13</v>
      </c>
      <c r="S9" s="3">
        <f>INT((10+$M9)*VLOOKUP($D9,Role!$A$2:$O$9,14,0))</f>
        <v>12</v>
      </c>
      <c r="T9" s="3">
        <f>INT($I9*VLOOKUP($D9,Role!$A$2:$O$9,12,0))</f>
        <v>2</v>
      </c>
      <c r="V9" s="2">
        <f>ROUND(MAX($J9,$L9)+(MIN($J9,$L9)*VLOOKUP($D9,Role!$A$2:$O$9,14,0)),0)</f>
        <v>4</v>
      </c>
      <c r="W9" s="2">
        <f>MAX(1,INT(((MIN($I9:$J9)+(MAX($I9:$J9)*$G9*VLOOKUP($D9,Role!$A$2:$O$9,15,0))))*VLOOKUP($F9,Movement!$A$2:$C$7,3,0)))</f>
        <v>5</v>
      </c>
      <c r="Y9" s="2">
        <f t="shared" si="0"/>
        <v>5</v>
      </c>
      <c r="Z9" s="2">
        <f t="shared" si="1"/>
        <v>0</v>
      </c>
      <c r="AA9" s="2">
        <f t="shared" si="2"/>
        <v>5</v>
      </c>
      <c r="AB9" s="2">
        <f t="shared" si="3"/>
        <v>0</v>
      </c>
    </row>
    <row r="10" spans="2:28" ht="12.75">
      <c r="B10" s="2">
        <v>2</v>
      </c>
      <c r="C10" s="1" t="s">
        <v>24</v>
      </c>
      <c r="D10" s="1" t="s">
        <v>25</v>
      </c>
      <c r="E10" s="1" t="s">
        <v>36</v>
      </c>
      <c r="F10" s="1" t="s">
        <v>27</v>
      </c>
      <c r="G10" s="3">
        <f>VLOOKUP($C10,Size!$A$2:$F$13,6,0)</f>
        <v>1</v>
      </c>
      <c r="I10" s="3">
        <f>INT(VLOOKUP($C10,Size!$A$2:$Z$13,16,0)*$B10/3)</f>
        <v>2</v>
      </c>
      <c r="J10" s="3">
        <f>INT(($B10*VLOOKUP($E10,Type!$A$2:$U$15,12,0))+((VLOOKUP($E10,Type!$A$2:$U$15,13,0)-VLOOKUP($E10,Type!$A$2:$U$15,12,0))*VLOOKUP($C10,Size!$A$2:$Z$13,17,0)*$B10))</f>
        <v>2</v>
      </c>
      <c r="K10" s="3">
        <f>INT(($B10*VLOOKUP($E10,Type!$A$2:$U$15,8,0))+((VLOOKUP($E10,Type!$A$2:$U$15,9,0)-VLOOKUP($E10,Type!$A$2:$U$15,8,0))*VLOOKUP($D10,Role!$A$2:$O$9,10,0)*$B10))</f>
        <v>1</v>
      </c>
      <c r="L10" s="3">
        <f>INT(($B10*VLOOKUP($E10,Type!$A$2:$U$15,4,0))+((VLOOKUP($E10,Type!$A$2:$U$15,5,0)-VLOOKUP($E10,Type!$A$2:$U$15,4,0))*$B10))</f>
        <v>1</v>
      </c>
      <c r="M10" s="3">
        <f>INT($B10*VLOOKUP($D10,Role!$A$2:$O$9,10,0)*VLOOKUP($D10,Role!$A$2:$O$9,11,0))</f>
        <v>1</v>
      </c>
      <c r="N10" s="3">
        <f>INT(($B10*VLOOKUP($E10,Type!$A$2:$U$15,20,0))+((VLOOKUP($E10,Type!$A$2:$U$15,21,0)-VLOOKUP($E10,Type!$A$2:$U$15,20,0))*$B10))</f>
        <v>0</v>
      </c>
      <c r="P10" s="3">
        <f>INT(VLOOKUP($D10,Role!$A$2:$O$9,8,0)*$B10)</f>
        <v>1</v>
      </c>
      <c r="Q10" s="3">
        <f>INT(VLOOKUP($D10,Role!$A$2:$O$9,9,0)*$B10)</f>
        <v>2</v>
      </c>
      <c r="R10" s="3">
        <f>INT(VLOOKUP($C10,Size!$A$2:$Z$13,18,0)*VLOOKUP($D10,Role!$A$2:$O$9,13,0)*$B10/2)</f>
        <v>8</v>
      </c>
      <c r="S10" s="3">
        <f>INT((10+$M10)*VLOOKUP($D10,Role!$A$2:$O$9,14,0))</f>
        <v>8</v>
      </c>
      <c r="T10" s="3">
        <f>INT($I10*VLOOKUP($D10,Role!$A$2:$O$9,12,0))</f>
        <v>1</v>
      </c>
      <c r="V10" s="2">
        <f>ROUND(MAX($J10,$L10)+(MIN($J10,$L10)*VLOOKUP($D10,Role!$A$2:$O$9,14,0)),0)</f>
        <v>3</v>
      </c>
      <c r="W10" s="2">
        <f>MAX(1,INT(((MIN($I10:$J10)+(MAX($I10:$J10)*$G10*VLOOKUP($D10,Role!$A$2:$O$9,15,0))))*VLOOKUP($F10,Movement!$A$2:$C$7,3,0)))</f>
        <v>3</v>
      </c>
      <c r="Y10" s="2">
        <f t="shared" si="0"/>
        <v>5</v>
      </c>
      <c r="Z10" s="2">
        <f t="shared" si="1"/>
        <v>0</v>
      </c>
      <c r="AA10" s="2">
        <f t="shared" si="2"/>
        <v>5</v>
      </c>
      <c r="AB10" s="2">
        <f t="shared" si="3"/>
        <v>0</v>
      </c>
    </row>
    <row r="11" spans="2:28" ht="12.75">
      <c r="B11" s="2">
        <v>2</v>
      </c>
      <c r="C11" s="1" t="s">
        <v>24</v>
      </c>
      <c r="D11" s="1" t="s">
        <v>28</v>
      </c>
      <c r="E11" s="1" t="s">
        <v>36</v>
      </c>
      <c r="F11" s="1" t="s">
        <v>27</v>
      </c>
      <c r="G11" s="3">
        <f>VLOOKUP($C11,Size!$A$2:$F$13,6,0)</f>
        <v>1</v>
      </c>
      <c r="I11" s="3">
        <f>INT(VLOOKUP($C11,Size!$A$2:$Z$13,16,0)*$B11/3)</f>
        <v>2</v>
      </c>
      <c r="J11" s="3">
        <f>INT(($B11*VLOOKUP($E11,Type!$A$2:$U$15,12,0))+((VLOOKUP($E11,Type!$A$2:$U$15,13,0)-VLOOKUP($E11,Type!$A$2:$U$15,12,0))*VLOOKUP($C11,Size!$A$2:$Z$13,17,0)*$B11))</f>
        <v>2</v>
      </c>
      <c r="K11" s="3">
        <f>INT(($B11*VLOOKUP($E11,Type!$A$2:$U$15,8,0))+((VLOOKUP($E11,Type!$A$2:$U$15,9,0)-VLOOKUP($E11,Type!$A$2:$U$15,8,0))*VLOOKUP($D11,Role!$A$2:$O$9,10,0)*$B11))</f>
        <v>0</v>
      </c>
      <c r="L11" s="3">
        <f>INT(($B11*VLOOKUP($E11,Type!$A$2:$U$15,4,0))+((VLOOKUP($E11,Type!$A$2:$U$15,5,0)-VLOOKUP($E11,Type!$A$2:$U$15,4,0))*$B11))</f>
        <v>1</v>
      </c>
      <c r="M11" s="3">
        <f>INT($B11*VLOOKUP($D11,Role!$A$2:$O$9,10,0)*VLOOKUP($D11,Role!$A$2:$O$9,11,0))</f>
        <v>1</v>
      </c>
      <c r="N11" s="3">
        <f>INT(($B11*VLOOKUP($E11,Type!$A$2:$U$15,20,0))+((VLOOKUP($E11,Type!$A$2:$U$15,21,0)-VLOOKUP($E11,Type!$A$2:$U$15,20,0))*$B11))</f>
        <v>0</v>
      </c>
      <c r="P11" s="3">
        <f>INT(VLOOKUP($D11,Role!$A$2:$O$9,8,0)*$B11)</f>
        <v>2</v>
      </c>
      <c r="Q11" s="3">
        <f>INT(VLOOKUP($D11,Role!$A$2:$O$9,9,0)*$B11)</f>
        <v>1</v>
      </c>
      <c r="R11" s="3">
        <f>INT(VLOOKUP($C11,Size!$A$2:$Z$13,18,0)*VLOOKUP($D11,Role!$A$2:$O$9,13,0)*$B11/2)</f>
        <v>26</v>
      </c>
      <c r="S11" s="3">
        <f>INT((10+$M11)*VLOOKUP($D11,Role!$A$2:$O$9,14,0))</f>
        <v>5</v>
      </c>
      <c r="T11" s="3">
        <f>INT($I11*VLOOKUP($D11,Role!$A$2:$O$9,12,0))</f>
        <v>3</v>
      </c>
      <c r="V11" s="2">
        <f>ROUND(MAX($J11,$L11)+(MIN($J11,$L11)*VLOOKUP($D11,Role!$A$2:$O$9,14,0)),0)</f>
        <v>3</v>
      </c>
      <c r="W11" s="2">
        <f>MAX(1,INT(((MIN($I11:$J11)+(MAX($I11:$J11)*$G11*VLOOKUP($D11,Role!$A$2:$O$9,15,0))))*VLOOKUP($F11,Movement!$A$2:$C$7,3,0)))</f>
        <v>3</v>
      </c>
      <c r="Y11" s="2">
        <f t="shared" si="0"/>
        <v>5</v>
      </c>
      <c r="Z11" s="2">
        <f t="shared" si="1"/>
        <v>0</v>
      </c>
      <c r="AA11" s="2">
        <f t="shared" si="2"/>
        <v>5</v>
      </c>
      <c r="AB11" s="2">
        <f t="shared" si="3"/>
        <v>0</v>
      </c>
    </row>
    <row r="12" spans="2:28" ht="12.75">
      <c r="B12" s="2">
        <v>2</v>
      </c>
      <c r="C12" s="1" t="s">
        <v>24</v>
      </c>
      <c r="D12" s="1" t="s">
        <v>29</v>
      </c>
      <c r="E12" s="1" t="s">
        <v>36</v>
      </c>
      <c r="F12" s="1" t="s">
        <v>27</v>
      </c>
      <c r="G12" s="3">
        <f>VLOOKUP($C12,Size!$A$2:$F$13,6,0)</f>
        <v>1</v>
      </c>
      <c r="I12" s="3">
        <f>INT(VLOOKUP($C12,Size!$A$2:$Z$13,16,0)*$B12/3)</f>
        <v>2</v>
      </c>
      <c r="J12" s="3">
        <f>INT(($B12*VLOOKUP($E12,Type!$A$2:$U$15,12,0))+((VLOOKUP($E12,Type!$A$2:$U$15,13,0)-VLOOKUP($E12,Type!$A$2:$U$15,12,0))*VLOOKUP($C12,Size!$A$2:$Z$13,17,0)*$B12))</f>
        <v>2</v>
      </c>
      <c r="K12" s="3">
        <f>INT(($B12*VLOOKUP($E12,Type!$A$2:$U$15,8,0))+((VLOOKUP($E12,Type!$A$2:$U$15,9,0)-VLOOKUP($E12,Type!$A$2:$U$15,8,0))*VLOOKUP($D12,Role!$A$2:$O$9,10,0)*$B12))</f>
        <v>1</v>
      </c>
      <c r="L12" s="3">
        <f>INT(($B12*VLOOKUP($E12,Type!$A$2:$U$15,4,0))+((VLOOKUP($E12,Type!$A$2:$U$15,5,0)-VLOOKUP($E12,Type!$A$2:$U$15,4,0))*$B12))</f>
        <v>1</v>
      </c>
      <c r="M12" s="3">
        <f>INT($B12*VLOOKUP($D12,Role!$A$2:$O$9,10,0)*VLOOKUP($D12,Role!$A$2:$O$9,11,0))</f>
        <v>1</v>
      </c>
      <c r="N12" s="3">
        <f>INT(($B12*VLOOKUP($E12,Type!$A$2:$U$15,20,0))+((VLOOKUP($E12,Type!$A$2:$U$15,21,0)-VLOOKUP($E12,Type!$A$2:$U$15,20,0))*$B12))</f>
        <v>0</v>
      </c>
      <c r="P12" s="3">
        <f>INT(VLOOKUP($D12,Role!$A$2:$O$9,8,0)*$B12)</f>
        <v>1</v>
      </c>
      <c r="Q12" s="3">
        <f>INT(VLOOKUP($D12,Role!$A$2:$O$9,9,0)*$B12)</f>
        <v>2</v>
      </c>
      <c r="R12" s="3">
        <f>INT(VLOOKUP($C12,Size!$A$2:$Z$13,18,0)*VLOOKUP($D12,Role!$A$2:$O$9,13,0)*$B12/2)</f>
        <v>13</v>
      </c>
      <c r="S12" s="3">
        <f>INT((10+$M12)*VLOOKUP($D12,Role!$A$2:$O$9,14,0))</f>
        <v>5</v>
      </c>
      <c r="T12" s="3">
        <f>INT($I12*VLOOKUP($D12,Role!$A$2:$O$9,12,0))</f>
        <v>1</v>
      </c>
      <c r="V12" s="2">
        <f>ROUND(MAX($J12,$L12)+(MIN($J12,$L12)*VLOOKUP($D12,Role!$A$2:$O$9,14,0)),0)</f>
        <v>3</v>
      </c>
      <c r="W12" s="2">
        <f>MAX(1,INT(((MIN($I12:$J12)+(MAX($I12:$J12)*$G12*VLOOKUP($D12,Role!$A$2:$O$9,15,0))))*VLOOKUP($F12,Movement!$A$2:$C$7,3,0)))</f>
        <v>4</v>
      </c>
      <c r="Y12" s="2">
        <f t="shared" si="0"/>
        <v>5</v>
      </c>
      <c r="Z12" s="2">
        <f t="shared" si="1"/>
        <v>0</v>
      </c>
      <c r="AA12" s="2">
        <f t="shared" si="2"/>
        <v>5</v>
      </c>
      <c r="AB12" s="2">
        <f t="shared" si="3"/>
        <v>0</v>
      </c>
    </row>
    <row r="13" spans="2:28" ht="12.75">
      <c r="B13" s="2">
        <v>2</v>
      </c>
      <c r="C13" s="1" t="s">
        <v>24</v>
      </c>
      <c r="D13" s="1" t="s">
        <v>30</v>
      </c>
      <c r="E13" s="1" t="s">
        <v>36</v>
      </c>
      <c r="F13" s="1" t="s">
        <v>27</v>
      </c>
      <c r="G13" s="3">
        <f>VLOOKUP($C13,Size!$A$2:$F$13,6,0)</f>
        <v>1</v>
      </c>
      <c r="I13" s="3">
        <f>INT(VLOOKUP($C13,Size!$A$2:$Z$13,16,0)*$B13/3)</f>
        <v>2</v>
      </c>
      <c r="J13" s="3">
        <f>INT(($B13*VLOOKUP($E13,Type!$A$2:$U$15,12,0))+((VLOOKUP($E13,Type!$A$2:$U$15,13,0)-VLOOKUP($E13,Type!$A$2:$U$15,12,0))*VLOOKUP($C13,Size!$A$2:$Z$13,17,0)*$B13))</f>
        <v>2</v>
      </c>
      <c r="K13" s="3">
        <f>INT(($B13*VLOOKUP($E13,Type!$A$2:$U$15,8,0))+((VLOOKUP($E13,Type!$A$2:$U$15,9,0)-VLOOKUP($E13,Type!$A$2:$U$15,8,0))*VLOOKUP($D13,Role!$A$2:$O$9,10,0)*$B13))</f>
        <v>0</v>
      </c>
      <c r="L13" s="3">
        <f>INT(($B13*VLOOKUP($E13,Type!$A$2:$U$15,4,0))+((VLOOKUP($E13,Type!$A$2:$U$15,5,0)-VLOOKUP($E13,Type!$A$2:$U$15,4,0))*$B13))</f>
        <v>1</v>
      </c>
      <c r="M13" s="3">
        <f>INT($B13*VLOOKUP($D13,Role!$A$2:$O$9,10,0)*VLOOKUP($D13,Role!$A$2:$O$9,11,0))</f>
        <v>1</v>
      </c>
      <c r="N13" s="3">
        <f>INT(($B13*VLOOKUP($E13,Type!$A$2:$U$15,20,0))+((VLOOKUP($E13,Type!$A$2:$U$15,21,0)-VLOOKUP($E13,Type!$A$2:$U$15,20,0))*$B13))</f>
        <v>0</v>
      </c>
      <c r="P13" s="3">
        <f>INT(VLOOKUP($D13,Role!$A$2:$O$9,8,0)*$B13)</f>
        <v>2</v>
      </c>
      <c r="Q13" s="3">
        <f>INT(VLOOKUP($D13,Role!$A$2:$O$9,9,0)*$B13)</f>
        <v>2</v>
      </c>
      <c r="R13" s="3">
        <f>INT(VLOOKUP($C13,Size!$A$2:$Z$13,18,0)*VLOOKUP($D13,Role!$A$2:$O$9,13,0)*$B13/2)</f>
        <v>17</v>
      </c>
      <c r="S13" s="3">
        <f>INT((10+$M13)*VLOOKUP($D13,Role!$A$2:$O$9,14,0))</f>
        <v>11</v>
      </c>
      <c r="T13" s="3">
        <f>INT($I13*VLOOKUP($D13,Role!$A$2:$O$9,12,0))</f>
        <v>2</v>
      </c>
      <c r="V13" s="2">
        <f>ROUND(MAX($J13,$L13)+(MIN($J13,$L13)*VLOOKUP($D13,Role!$A$2:$O$9,14,0)),0)</f>
        <v>3</v>
      </c>
      <c r="W13" s="2">
        <f>MAX(1,INT(((MIN($I13:$J13)+(MAX($I13:$J13)*$G13*VLOOKUP($D13,Role!$A$2:$O$9,15,0))))*VLOOKUP($F13,Movement!$A$2:$C$7,3,0)))</f>
        <v>5</v>
      </c>
      <c r="Y13" s="2">
        <f t="shared" si="0"/>
        <v>5</v>
      </c>
      <c r="Z13" s="2">
        <f t="shared" si="1"/>
        <v>0</v>
      </c>
      <c r="AA13" s="2">
        <f t="shared" si="2"/>
        <v>5</v>
      </c>
      <c r="AB13" s="2">
        <f t="shared" si="3"/>
        <v>0</v>
      </c>
    </row>
    <row r="14" spans="2:28" ht="12.75">
      <c r="B14" s="2">
        <v>2</v>
      </c>
      <c r="C14" s="1" t="s">
        <v>24</v>
      </c>
      <c r="D14" s="1" t="s">
        <v>31</v>
      </c>
      <c r="E14" s="1" t="s">
        <v>36</v>
      </c>
      <c r="F14" s="1" t="s">
        <v>27</v>
      </c>
      <c r="G14" s="3">
        <f>VLOOKUP($C14,Size!$A$2:$F$13,6,0)</f>
        <v>1</v>
      </c>
      <c r="I14" s="3">
        <f>INT(VLOOKUP($C14,Size!$A$2:$Z$13,16,0)*$B14/3)</f>
        <v>2</v>
      </c>
      <c r="J14" s="3">
        <f>INT(($B14*VLOOKUP($E14,Type!$A$2:$U$15,12,0))+((VLOOKUP($E14,Type!$A$2:$U$15,13,0)-VLOOKUP($E14,Type!$A$2:$U$15,12,0))*VLOOKUP($C14,Size!$A$2:$Z$13,17,0)*$B14))</f>
        <v>2</v>
      </c>
      <c r="K14" s="3">
        <f>INT(($B14*VLOOKUP($E14,Type!$A$2:$U$15,8,0))+((VLOOKUP($E14,Type!$A$2:$U$15,9,0)-VLOOKUP($E14,Type!$A$2:$U$15,8,0))*VLOOKUP($D14,Role!$A$2:$O$9,10,0)*$B14))</f>
        <v>1</v>
      </c>
      <c r="L14" s="3">
        <f>INT(($B14*VLOOKUP($E14,Type!$A$2:$U$15,4,0))+((VLOOKUP($E14,Type!$A$2:$U$15,5,0)-VLOOKUP($E14,Type!$A$2:$U$15,4,0))*$B14))</f>
        <v>1</v>
      </c>
      <c r="M14" s="3">
        <f>INT($B14*VLOOKUP($D14,Role!$A$2:$O$9,10,0)*VLOOKUP($D14,Role!$A$2:$O$9,11,0))</f>
        <v>2</v>
      </c>
      <c r="N14" s="3">
        <f>INT(($B14*VLOOKUP($E14,Type!$A$2:$U$15,20,0))+((VLOOKUP($E14,Type!$A$2:$U$15,21,0)-VLOOKUP($E14,Type!$A$2:$U$15,20,0))*$B14))</f>
        <v>0</v>
      </c>
      <c r="P14" s="3">
        <f>INT(VLOOKUP($D14,Role!$A$2:$O$9,8,0)*$B14)</f>
        <v>1</v>
      </c>
      <c r="Q14" s="3">
        <f>INT(VLOOKUP($D14,Role!$A$2:$O$9,9,0)*$B14)</f>
        <v>2</v>
      </c>
      <c r="R14" s="3">
        <f>INT(VLOOKUP($C14,Size!$A$2:$Z$13,18,0)*VLOOKUP($D14,Role!$A$2:$O$9,13,0)*$B14/2)</f>
        <v>13</v>
      </c>
      <c r="S14" s="3">
        <f>INT((10+$M14)*VLOOKUP($D14,Role!$A$2:$O$9,14,0))</f>
        <v>9</v>
      </c>
      <c r="T14" s="3">
        <f>INT($I14*VLOOKUP($D14,Role!$A$2:$O$9,12,0))</f>
        <v>1</v>
      </c>
      <c r="V14" s="2">
        <f>ROUND(MAX($J14,$L14)+(MIN($J14,$L14)*VLOOKUP($D14,Role!$A$2:$O$9,14,0)),0)</f>
        <v>3</v>
      </c>
      <c r="W14" s="2">
        <f>MAX(1,INT(((MIN($I14:$J14)+(MAX($I14:$J14)*$G14*VLOOKUP($D14,Role!$A$2:$O$9,15,0))))*VLOOKUP($F14,Movement!$A$2:$C$7,3,0)))</f>
        <v>5</v>
      </c>
      <c r="Y14" s="2">
        <f t="shared" si="0"/>
        <v>5</v>
      </c>
      <c r="Z14" s="2">
        <f t="shared" si="1"/>
        <v>0</v>
      </c>
      <c r="AA14" s="2">
        <f t="shared" si="2"/>
        <v>5</v>
      </c>
      <c r="AB14" s="2">
        <f t="shared" si="3"/>
        <v>0</v>
      </c>
    </row>
    <row r="15" spans="2:28" ht="12.75">
      <c r="B15" s="2">
        <v>2</v>
      </c>
      <c r="C15" s="1" t="s">
        <v>24</v>
      </c>
      <c r="D15" s="1" t="s">
        <v>32</v>
      </c>
      <c r="E15" s="1" t="s">
        <v>36</v>
      </c>
      <c r="F15" s="1" t="s">
        <v>27</v>
      </c>
      <c r="G15" s="3">
        <f>VLOOKUP($C15,Size!$A$2:$F$13,6,0)</f>
        <v>1</v>
      </c>
      <c r="I15" s="3">
        <f>INT(VLOOKUP($C15,Size!$A$2:$Z$13,16,0)*$B15/3)</f>
        <v>2</v>
      </c>
      <c r="J15" s="3">
        <f>INT(($B15*VLOOKUP($E15,Type!$A$2:$U$15,12,0))+((VLOOKUP($E15,Type!$A$2:$U$15,13,0)-VLOOKUP($E15,Type!$A$2:$U$15,12,0))*VLOOKUP($C15,Size!$A$2:$Z$13,17,0)*$B15))</f>
        <v>2</v>
      </c>
      <c r="K15" s="3">
        <f>INT(($B15*VLOOKUP($E15,Type!$A$2:$U$15,8,0))+((VLOOKUP($E15,Type!$A$2:$U$15,9,0)-VLOOKUP($E15,Type!$A$2:$U$15,8,0))*VLOOKUP($D15,Role!$A$2:$O$9,10,0)*$B15))</f>
        <v>1</v>
      </c>
      <c r="L15" s="3">
        <f>INT(($B15*VLOOKUP($E15,Type!$A$2:$U$15,4,0))+((VLOOKUP($E15,Type!$A$2:$U$15,5,0)-VLOOKUP($E15,Type!$A$2:$U$15,4,0))*$B15))</f>
        <v>1</v>
      </c>
      <c r="M15" s="3">
        <f>INT($B15*VLOOKUP($D15,Role!$A$2:$O$9,10,0)*VLOOKUP($D15,Role!$A$2:$O$9,11,0))</f>
        <v>2</v>
      </c>
      <c r="N15" s="3">
        <f>INT(($B15*VLOOKUP($E15,Type!$A$2:$U$15,20,0))+((VLOOKUP($E15,Type!$A$2:$U$15,21,0)-VLOOKUP($E15,Type!$A$2:$U$15,20,0))*$B15))</f>
        <v>0</v>
      </c>
      <c r="P15" s="3">
        <f>INT(VLOOKUP($D15,Role!$A$2:$O$9,8,0)*$B15)</f>
        <v>2</v>
      </c>
      <c r="Q15" s="3">
        <f>INT(VLOOKUP($D15,Role!$A$2:$O$9,9,0)*$B15)</f>
        <v>2</v>
      </c>
      <c r="R15" s="3">
        <f>INT(VLOOKUP($C15,Size!$A$2:$Z$13,18,0)*VLOOKUP($D15,Role!$A$2:$O$9,13,0)*$B15/2)</f>
        <v>17</v>
      </c>
      <c r="S15" s="3">
        <f>INT((10+$M15)*VLOOKUP($D15,Role!$A$2:$O$9,14,0))</f>
        <v>9</v>
      </c>
      <c r="T15" s="3">
        <f>INT($I15*VLOOKUP($D15,Role!$A$2:$O$9,12,0))</f>
        <v>2</v>
      </c>
      <c r="V15" s="2">
        <f>ROUND(MAX($J15,$L15)+(MIN($J15,$L15)*VLOOKUP($D15,Role!$A$2:$O$9,14,0)),0)</f>
        <v>3</v>
      </c>
      <c r="W15" s="2">
        <f>MAX(1,INT(((MIN($I15:$J15)+(MAX($I15:$J15)*$G15*VLOOKUP($D15,Role!$A$2:$O$9,15,0))))*VLOOKUP($F15,Movement!$A$2:$C$7,3,0)))</f>
        <v>4</v>
      </c>
      <c r="Y15" s="2">
        <f t="shared" si="0"/>
        <v>5</v>
      </c>
      <c r="Z15" s="2">
        <f t="shared" si="1"/>
        <v>0</v>
      </c>
      <c r="AA15" s="2">
        <f t="shared" si="2"/>
        <v>5</v>
      </c>
      <c r="AB15" s="2">
        <f t="shared" si="3"/>
        <v>0</v>
      </c>
    </row>
    <row r="16" spans="2:28" ht="12.75">
      <c r="B16" s="2">
        <v>2</v>
      </c>
      <c r="C16" s="1" t="s">
        <v>24</v>
      </c>
      <c r="D16" s="1" t="s">
        <v>33</v>
      </c>
      <c r="E16" s="1" t="s">
        <v>36</v>
      </c>
      <c r="F16" s="1" t="s">
        <v>27</v>
      </c>
      <c r="G16" s="3">
        <f>VLOOKUP($C16,Size!$A$2:$F$13,6,0)</f>
        <v>1</v>
      </c>
      <c r="I16" s="3">
        <f>INT(VLOOKUP($C16,Size!$A$2:$Z$13,16,0)*$B16/3)</f>
        <v>2</v>
      </c>
      <c r="J16" s="3">
        <f>INT(($B16*VLOOKUP($E16,Type!$A$2:$U$15,12,0))+((VLOOKUP($E16,Type!$A$2:$U$15,13,0)-VLOOKUP($E16,Type!$A$2:$U$15,12,0))*VLOOKUP($C16,Size!$A$2:$Z$13,17,0)*$B16))</f>
        <v>2</v>
      </c>
      <c r="K16" s="3">
        <f>INT(($B16*VLOOKUP($E16,Type!$A$2:$U$15,8,0))+((VLOOKUP($E16,Type!$A$2:$U$15,9,0)-VLOOKUP($E16,Type!$A$2:$U$15,8,0))*VLOOKUP($D16,Role!$A$2:$O$9,10,0)*$B16))</f>
        <v>1</v>
      </c>
      <c r="L16" s="3">
        <f>INT(($B16*VLOOKUP($E16,Type!$A$2:$U$15,4,0))+((VLOOKUP($E16,Type!$A$2:$U$15,5,0)-VLOOKUP($E16,Type!$A$2:$U$15,4,0))*$B16))</f>
        <v>1</v>
      </c>
      <c r="M16" s="3">
        <f>INT($B16*VLOOKUP($D16,Role!$A$2:$O$9,10,0)*VLOOKUP($D16,Role!$A$2:$O$9,11,0))</f>
        <v>1</v>
      </c>
      <c r="N16" s="3">
        <f>INT(($B16*VLOOKUP($E16,Type!$A$2:$U$15,20,0))+((VLOOKUP($E16,Type!$A$2:$U$15,21,0)-VLOOKUP($E16,Type!$A$2:$U$15,20,0))*$B16))</f>
        <v>0</v>
      </c>
      <c r="P16" s="3">
        <f>INT(VLOOKUP($D16,Role!$A$2:$O$9,8,0)*$B16)</f>
        <v>1</v>
      </c>
      <c r="Q16" s="3">
        <f>INT(VLOOKUP($D16,Role!$A$2:$O$9,9,0)*$B16)</f>
        <v>2</v>
      </c>
      <c r="R16" s="3">
        <f>INT(VLOOKUP($C16,Size!$A$2:$Z$13,18,0)*VLOOKUP($D16,Role!$A$2:$O$9,13,0)*$B16/2)</f>
        <v>13</v>
      </c>
      <c r="S16" s="3">
        <f>INT((10+$M16)*VLOOKUP($D16,Role!$A$2:$O$9,14,0))</f>
        <v>11</v>
      </c>
      <c r="T16" s="3">
        <f>INT($I16*VLOOKUP($D16,Role!$A$2:$O$9,12,0))</f>
        <v>1</v>
      </c>
      <c r="V16" s="2">
        <f>ROUND(MAX($J16,$L16)+(MIN($J16,$L16)*VLOOKUP($D16,Role!$A$2:$O$9,14,0)),0)</f>
        <v>3</v>
      </c>
      <c r="W16" s="2">
        <f>MAX(1,INT(((MIN($I16:$J16)+(MAX($I16:$J16)*$G16*VLOOKUP($D16,Role!$A$2:$O$9,15,0))))*VLOOKUP($F16,Movement!$A$2:$C$7,3,0)))</f>
        <v>5</v>
      </c>
      <c r="Y16" s="2">
        <f t="shared" si="0"/>
        <v>5</v>
      </c>
      <c r="Z16" s="2">
        <f t="shared" si="1"/>
        <v>0</v>
      </c>
      <c r="AA16" s="2">
        <f t="shared" si="2"/>
        <v>5</v>
      </c>
      <c r="AB16" s="2">
        <f t="shared" si="3"/>
        <v>0</v>
      </c>
    </row>
    <row r="17" spans="2:28" ht="12.75">
      <c r="B17" s="2">
        <v>2</v>
      </c>
      <c r="C17" s="1" t="s">
        <v>37</v>
      </c>
      <c r="D17" s="1" t="s">
        <v>34</v>
      </c>
      <c r="E17" s="1" t="s">
        <v>36</v>
      </c>
      <c r="F17" s="1" t="s">
        <v>27</v>
      </c>
      <c r="G17" s="3">
        <f>VLOOKUP($C17,Size!$A$2:$F$13,6,0)</f>
        <v>-3</v>
      </c>
      <c r="I17" s="3">
        <f>INT(VLOOKUP($C17,Size!$A$2:$Z$13,16,0)*$B17/3)</f>
        <v>0</v>
      </c>
      <c r="J17" s="3">
        <f>INT(($B17*VLOOKUP($E17,Type!$A$2:$U$15,12,0))+((VLOOKUP($E17,Type!$A$2:$U$15,13,0)-VLOOKUP($E17,Type!$A$2:$U$15,12,0))*VLOOKUP($C17,Size!$A$2:$Z$13,17,0)*$B17))</f>
        <v>3</v>
      </c>
      <c r="K17" s="3">
        <f>INT(($B17*VLOOKUP($E17,Type!$A$2:$U$15,8,0))+((VLOOKUP($E17,Type!$A$2:$U$15,9,0)-VLOOKUP($E17,Type!$A$2:$U$15,8,0))*VLOOKUP($D17,Role!$A$2:$O$9,10,0)*$B17))</f>
        <v>1</v>
      </c>
      <c r="L17" s="3">
        <f>INT(($B17*VLOOKUP($E17,Type!$A$2:$U$15,4,0))+((VLOOKUP($E17,Type!$A$2:$U$15,5,0)-VLOOKUP($E17,Type!$A$2:$U$15,4,0))*$B17))</f>
        <v>1</v>
      </c>
      <c r="M17" s="3">
        <f>INT($B17*VLOOKUP($D17,Role!$A$2:$O$9,10,0)*VLOOKUP($D17,Role!$A$2:$O$9,11,0))</f>
        <v>2</v>
      </c>
      <c r="N17" s="3">
        <f>INT(($B17*VLOOKUP($E17,Type!$A$2:$U$15,20,0))+((VLOOKUP($E17,Type!$A$2:$U$15,21,0)-VLOOKUP($E17,Type!$A$2:$U$15,20,0))*$B17))</f>
        <v>0</v>
      </c>
      <c r="P17" s="3">
        <f>INT(VLOOKUP($D17,Role!$A$2:$O$9,8,0)*$B17)</f>
        <v>2</v>
      </c>
      <c r="Q17" s="3">
        <f>INT(VLOOKUP($D17,Role!$A$2:$O$9,9,0)*$B17)</f>
        <v>2</v>
      </c>
      <c r="R17" s="3">
        <f>INT(VLOOKUP($C17,Size!$A$2:$Z$13,18,0)*VLOOKUP($D17,Role!$A$2:$O$9,13,0)*$B17/2)</f>
        <v>2</v>
      </c>
      <c r="S17" s="3">
        <f>INT((10+$M17)*VLOOKUP($D17,Role!$A$2:$O$9,14,0))</f>
        <v>12</v>
      </c>
      <c r="T17" s="3">
        <f>INT($I17*VLOOKUP($D17,Role!$A$2:$O$9,12,0))</f>
        <v>0</v>
      </c>
      <c r="V17" s="2">
        <f>ROUND(MAX($J17,$L17)+(MIN($J17,$L17)*VLOOKUP($D17,Role!$A$2:$O$9,14,0)),0)</f>
        <v>4</v>
      </c>
      <c r="W17" s="2">
        <f>MAX(1,INT(((MIN($I17:$J17)+(MAX($I17:$J17)*$G17*VLOOKUP($D17,Role!$A$2:$O$9,15,0))))*VLOOKUP($F17,Movement!$A$2:$C$7,3,0)))</f>
        <v>1</v>
      </c>
      <c r="Y17" s="2">
        <f t="shared" si="0"/>
        <v>3</v>
      </c>
      <c r="Z17" s="2">
        <f t="shared" si="1"/>
        <v>0</v>
      </c>
      <c r="AA17" s="2">
        <f t="shared" si="2"/>
        <v>6</v>
      </c>
      <c r="AB17" s="2">
        <f t="shared" si="3"/>
        <v>0</v>
      </c>
    </row>
    <row r="18" spans="2:28" ht="12.75">
      <c r="B18" s="2">
        <v>2</v>
      </c>
      <c r="C18" s="1" t="s">
        <v>38</v>
      </c>
      <c r="D18" s="1" t="s">
        <v>34</v>
      </c>
      <c r="E18" s="1" t="s">
        <v>36</v>
      </c>
      <c r="F18" s="1" t="s">
        <v>27</v>
      </c>
      <c r="G18" s="3">
        <f>VLOOKUP($C18,Size!$A$2:$F$13,6,0)</f>
        <v>-2</v>
      </c>
      <c r="I18" s="3">
        <f>INT(VLOOKUP($C18,Size!$A$2:$Z$13,16,0)*$B18/3)</f>
        <v>1</v>
      </c>
      <c r="J18" s="3">
        <f>INT(($B18*VLOOKUP($E18,Type!$A$2:$U$15,12,0))+((VLOOKUP($E18,Type!$A$2:$U$15,13,0)-VLOOKUP($E18,Type!$A$2:$U$15,12,0))*VLOOKUP($C18,Size!$A$2:$Z$13,17,0)*$B18))</f>
        <v>2</v>
      </c>
      <c r="K18" s="3">
        <f>INT(($B18*VLOOKUP($E18,Type!$A$2:$U$15,8,0))+((VLOOKUP($E18,Type!$A$2:$U$15,9,0)-VLOOKUP($E18,Type!$A$2:$U$15,8,0))*VLOOKUP($D18,Role!$A$2:$O$9,10,0)*$B18))</f>
        <v>1</v>
      </c>
      <c r="L18" s="3">
        <f>INT(($B18*VLOOKUP($E18,Type!$A$2:$U$15,4,0))+((VLOOKUP($E18,Type!$A$2:$U$15,5,0)-VLOOKUP($E18,Type!$A$2:$U$15,4,0))*$B18))</f>
        <v>1</v>
      </c>
      <c r="M18" s="3">
        <f>INT($B18*VLOOKUP($D18,Role!$A$2:$O$9,10,0)*VLOOKUP($D18,Role!$A$2:$O$9,11,0))</f>
        <v>2</v>
      </c>
      <c r="N18" s="3">
        <f>INT(($B18*VLOOKUP($E18,Type!$A$2:$U$15,20,0))+((VLOOKUP($E18,Type!$A$2:$U$15,21,0)-VLOOKUP($E18,Type!$A$2:$U$15,20,0))*$B18))</f>
        <v>0</v>
      </c>
      <c r="P18" s="3">
        <f>INT(VLOOKUP($D18,Role!$A$2:$O$9,8,0)*$B18)</f>
        <v>2</v>
      </c>
      <c r="Q18" s="3">
        <f>INT(VLOOKUP($D18,Role!$A$2:$O$9,9,0)*$B18)</f>
        <v>2</v>
      </c>
      <c r="R18" s="3">
        <f>INT(VLOOKUP($C18,Size!$A$2:$Z$13,18,0)*VLOOKUP($D18,Role!$A$2:$O$9,13,0)*$B18/2)</f>
        <v>6</v>
      </c>
      <c r="S18" s="3">
        <f>INT((10+$M18)*VLOOKUP($D18,Role!$A$2:$O$9,14,0))</f>
        <v>12</v>
      </c>
      <c r="T18" s="3">
        <f>INT($I18*VLOOKUP($D18,Role!$A$2:$O$9,12,0))</f>
        <v>1</v>
      </c>
      <c r="V18" s="2">
        <f>ROUND(MAX($J18,$L18)+(MIN($J18,$L18)*VLOOKUP($D18,Role!$A$2:$O$9,14,0)),0)</f>
        <v>3</v>
      </c>
      <c r="W18" s="2">
        <f>MAX(1,INT(((MIN($I18:$J18)+(MAX($I18:$J18)*$G18*VLOOKUP($D18,Role!$A$2:$O$9,15,0))))*VLOOKUP($F18,Movement!$A$2:$C$7,3,0)))</f>
        <v>1</v>
      </c>
      <c r="Y18" s="2">
        <f t="shared" si="0"/>
        <v>4</v>
      </c>
      <c r="Z18" s="2">
        <f t="shared" si="1"/>
        <v>0</v>
      </c>
      <c r="AA18" s="2">
        <f t="shared" si="2"/>
        <v>6</v>
      </c>
      <c r="AB18" s="2">
        <f t="shared" si="3"/>
        <v>0</v>
      </c>
    </row>
    <row r="19" spans="2:28" ht="12.75">
      <c r="B19" s="2">
        <v>2</v>
      </c>
      <c r="C19" s="1" t="s">
        <v>39</v>
      </c>
      <c r="D19" s="1" t="s">
        <v>34</v>
      </c>
      <c r="E19" s="1" t="s">
        <v>36</v>
      </c>
      <c r="F19" s="1" t="s">
        <v>27</v>
      </c>
      <c r="G19" s="3">
        <f>VLOOKUP($C19,Size!$A$2:$F$13,6,0)</f>
        <v>-1</v>
      </c>
      <c r="I19" s="3">
        <f>INT(VLOOKUP($C19,Size!$A$2:$Z$13,16,0)*$B19/3)</f>
        <v>1</v>
      </c>
      <c r="J19" s="3">
        <f>INT(($B19*VLOOKUP($E19,Type!$A$2:$U$15,12,0))+((VLOOKUP($E19,Type!$A$2:$U$15,13,0)-VLOOKUP($E19,Type!$A$2:$U$15,12,0))*VLOOKUP($C19,Size!$A$2:$Z$13,17,0)*$B19))</f>
        <v>2</v>
      </c>
      <c r="K19" s="3">
        <f>INT(($B19*VLOOKUP($E19,Type!$A$2:$U$15,8,0))+((VLOOKUP($E19,Type!$A$2:$U$15,9,0)-VLOOKUP($E19,Type!$A$2:$U$15,8,0))*VLOOKUP($D19,Role!$A$2:$O$9,10,0)*$B19))</f>
        <v>1</v>
      </c>
      <c r="L19" s="3">
        <f>INT(($B19*VLOOKUP($E19,Type!$A$2:$U$15,4,0))+((VLOOKUP($E19,Type!$A$2:$U$15,5,0)-VLOOKUP($E19,Type!$A$2:$U$15,4,0))*$B19))</f>
        <v>1</v>
      </c>
      <c r="M19" s="3">
        <f>INT($B19*VLOOKUP($D19,Role!$A$2:$O$9,10,0)*VLOOKUP($D19,Role!$A$2:$O$9,11,0))</f>
        <v>2</v>
      </c>
      <c r="N19" s="3">
        <f>INT(($B19*VLOOKUP($E19,Type!$A$2:$U$15,20,0))+((VLOOKUP($E19,Type!$A$2:$U$15,21,0)-VLOOKUP($E19,Type!$A$2:$U$15,20,0))*$B19))</f>
        <v>0</v>
      </c>
      <c r="P19" s="3">
        <f>INT(VLOOKUP($D19,Role!$A$2:$O$9,8,0)*$B19)</f>
        <v>2</v>
      </c>
      <c r="Q19" s="3">
        <f>INT(VLOOKUP($D19,Role!$A$2:$O$9,9,0)*$B19)</f>
        <v>2</v>
      </c>
      <c r="R19" s="3">
        <f>INT(VLOOKUP($C19,Size!$A$2:$Z$13,18,0)*VLOOKUP($D19,Role!$A$2:$O$9,13,0)*$B19/2)</f>
        <v>8</v>
      </c>
      <c r="S19" s="3">
        <f>INT((10+$M19)*VLOOKUP($D19,Role!$A$2:$O$9,14,0))</f>
        <v>12</v>
      </c>
      <c r="T19" s="3">
        <f>INT($I19*VLOOKUP($D19,Role!$A$2:$O$9,12,0))</f>
        <v>1</v>
      </c>
      <c r="V19" s="2">
        <f>ROUND(MAX($J19,$L19)+(MIN($J19,$L19)*VLOOKUP($D19,Role!$A$2:$O$9,14,0)),0)</f>
        <v>3</v>
      </c>
      <c r="W19" s="2">
        <f>MAX(1,INT(((MIN($I19:$J19)+(MAX($I19:$J19)*$G19*VLOOKUP($D19,Role!$A$2:$O$9,15,0))))*VLOOKUP($F19,Movement!$A$2:$C$7,3,0)))</f>
        <v>1</v>
      </c>
      <c r="Y19" s="2">
        <f t="shared" si="0"/>
        <v>4</v>
      </c>
      <c r="Z19" s="2">
        <f t="shared" si="1"/>
        <v>0</v>
      </c>
      <c r="AA19" s="2">
        <f t="shared" si="2"/>
        <v>6</v>
      </c>
      <c r="AB19" s="2">
        <f t="shared" si="3"/>
        <v>0</v>
      </c>
    </row>
    <row r="20" spans="2:28" ht="12.75">
      <c r="B20" s="2">
        <v>2</v>
      </c>
      <c r="C20" s="1" t="s">
        <v>40</v>
      </c>
      <c r="D20" s="1" t="s">
        <v>34</v>
      </c>
      <c r="E20" s="1" t="s">
        <v>36</v>
      </c>
      <c r="F20" s="1" t="s">
        <v>27</v>
      </c>
      <c r="G20" s="3">
        <f>VLOOKUP($C20,Size!$A$2:$F$13,6,0)</f>
        <v>0</v>
      </c>
      <c r="I20" s="3">
        <f>INT(VLOOKUP($C20,Size!$A$2:$Z$13,16,0)*$B20/3)</f>
        <v>1</v>
      </c>
      <c r="J20" s="3">
        <f>INT(($B20*VLOOKUP($E20,Type!$A$2:$U$15,12,0))+((VLOOKUP($E20,Type!$A$2:$U$15,13,0)-VLOOKUP($E20,Type!$A$2:$U$15,12,0))*VLOOKUP($C20,Size!$A$2:$Z$13,17,0)*$B20))</f>
        <v>2</v>
      </c>
      <c r="K20" s="3">
        <f>INT(($B20*VLOOKUP($E20,Type!$A$2:$U$15,8,0))+((VLOOKUP($E20,Type!$A$2:$U$15,9,0)-VLOOKUP($E20,Type!$A$2:$U$15,8,0))*VLOOKUP($D20,Role!$A$2:$O$9,10,0)*$B20))</f>
        <v>1</v>
      </c>
      <c r="L20" s="3">
        <f>INT(($B20*VLOOKUP($E20,Type!$A$2:$U$15,4,0))+((VLOOKUP($E20,Type!$A$2:$U$15,5,0)-VLOOKUP($E20,Type!$A$2:$U$15,4,0))*$B20))</f>
        <v>1</v>
      </c>
      <c r="M20" s="3">
        <f>INT($B20*VLOOKUP($D20,Role!$A$2:$O$9,10,0)*VLOOKUP($D20,Role!$A$2:$O$9,11,0))</f>
        <v>2</v>
      </c>
      <c r="N20" s="3">
        <f>INT(($B20*VLOOKUP($E20,Type!$A$2:$U$15,20,0))+((VLOOKUP($E20,Type!$A$2:$U$15,21,0)-VLOOKUP($E20,Type!$A$2:$U$15,20,0))*$B20))</f>
        <v>0</v>
      </c>
      <c r="P20" s="3">
        <f>INT(VLOOKUP($D20,Role!$A$2:$O$9,8,0)*$B20)</f>
        <v>2</v>
      </c>
      <c r="Q20" s="3">
        <f>INT(VLOOKUP($D20,Role!$A$2:$O$9,9,0)*$B20)</f>
        <v>2</v>
      </c>
      <c r="R20" s="3">
        <f>INT(VLOOKUP($C20,Size!$A$2:$Z$13,18,0)*VLOOKUP($D20,Role!$A$2:$O$9,13,0)*$B20/2)</f>
        <v>10</v>
      </c>
      <c r="S20" s="3">
        <f>INT((10+$M20)*VLOOKUP($D20,Role!$A$2:$O$9,14,0))</f>
        <v>12</v>
      </c>
      <c r="T20" s="3">
        <f>INT($I20*VLOOKUP($D20,Role!$A$2:$O$9,12,0))</f>
        <v>1</v>
      </c>
      <c r="V20" s="2">
        <f>ROUND(MAX($J20,$L20)+(MIN($J20,$L20)*VLOOKUP($D20,Role!$A$2:$O$9,14,0)),0)</f>
        <v>3</v>
      </c>
      <c r="W20" s="2">
        <f>MAX(1,INT(((MIN($I20:$J20)+(MAX($I20:$J20)*$G20*VLOOKUP($D20,Role!$A$2:$O$9,15,0))))*VLOOKUP($F20,Movement!$A$2:$C$7,3,0)))</f>
        <v>1</v>
      </c>
      <c r="Y20" s="2">
        <f t="shared" si="0"/>
        <v>4</v>
      </c>
      <c r="Z20" s="2">
        <f t="shared" si="1"/>
        <v>0</v>
      </c>
      <c r="AA20" s="2">
        <f t="shared" si="2"/>
        <v>5</v>
      </c>
      <c r="AB20" s="2">
        <f t="shared" si="3"/>
        <v>0</v>
      </c>
    </row>
    <row r="21" spans="2:28" ht="12.75">
      <c r="B21" s="2">
        <v>2</v>
      </c>
      <c r="C21" s="1" t="s">
        <v>24</v>
      </c>
      <c r="D21" s="1" t="s">
        <v>34</v>
      </c>
      <c r="E21" s="1" t="s">
        <v>36</v>
      </c>
      <c r="F21" s="1" t="s">
        <v>27</v>
      </c>
      <c r="G21" s="3">
        <f>VLOOKUP($C21,Size!$A$2:$F$13,6,0)</f>
        <v>1</v>
      </c>
      <c r="I21" s="3">
        <f>INT(VLOOKUP($C21,Size!$A$2:$Z$13,16,0)*$B21/3)</f>
        <v>2</v>
      </c>
      <c r="J21" s="3">
        <f>INT(($B21*VLOOKUP($E21,Type!$A$2:$U$15,12,0))+((VLOOKUP($E21,Type!$A$2:$U$15,13,0)-VLOOKUP($E21,Type!$A$2:$U$15,12,0))*VLOOKUP($C21,Size!$A$2:$Z$13,17,0)*$B21))</f>
        <v>2</v>
      </c>
      <c r="K21" s="3">
        <f>INT(($B21*VLOOKUP($E21,Type!$A$2:$U$15,8,0))+((VLOOKUP($E21,Type!$A$2:$U$15,9,0)-VLOOKUP($E21,Type!$A$2:$U$15,8,0))*VLOOKUP($D21,Role!$A$2:$O$9,10,0)*$B21))</f>
        <v>1</v>
      </c>
      <c r="L21" s="3">
        <f>INT(($B21*VLOOKUP($E21,Type!$A$2:$U$15,4,0))+((VLOOKUP($E21,Type!$A$2:$U$15,5,0)-VLOOKUP($E21,Type!$A$2:$U$15,4,0))*$B21))</f>
        <v>1</v>
      </c>
      <c r="M21" s="3">
        <f>INT($B21*VLOOKUP($D21,Role!$A$2:$O$9,10,0)*VLOOKUP($D21,Role!$A$2:$O$9,11,0))</f>
        <v>2</v>
      </c>
      <c r="N21" s="3">
        <f>INT(($B21*VLOOKUP($E21,Type!$A$2:$U$15,20,0))+((VLOOKUP($E21,Type!$A$2:$U$15,21,0)-VLOOKUP($E21,Type!$A$2:$U$15,20,0))*$B21))</f>
        <v>0</v>
      </c>
      <c r="P21" s="3">
        <f>INT(VLOOKUP($D21,Role!$A$2:$O$9,8,0)*$B21)</f>
        <v>2</v>
      </c>
      <c r="Q21" s="3">
        <f>INT(VLOOKUP($D21,Role!$A$2:$O$9,9,0)*$B21)</f>
        <v>2</v>
      </c>
      <c r="R21" s="3">
        <f>INT(VLOOKUP($C21,Size!$A$2:$Z$13,18,0)*VLOOKUP($D21,Role!$A$2:$O$9,13,0)*$B21/2)</f>
        <v>13</v>
      </c>
      <c r="S21" s="3">
        <f>INT((10+$M21)*VLOOKUP($D21,Role!$A$2:$O$9,14,0))</f>
        <v>12</v>
      </c>
      <c r="T21" s="3">
        <f>INT($I21*VLOOKUP($D21,Role!$A$2:$O$9,12,0))</f>
        <v>2</v>
      </c>
      <c r="V21" s="2">
        <f>ROUND(MAX($J21,$L21)+(MIN($J21,$L21)*VLOOKUP($D21,Role!$A$2:$O$9,14,0)),0)</f>
        <v>3</v>
      </c>
      <c r="W21" s="2">
        <f>MAX(1,INT(((MIN($I21:$J21)+(MAX($I21:$J21)*$G21*VLOOKUP($D21,Role!$A$2:$O$9,15,0))))*VLOOKUP($F21,Movement!$A$2:$C$7,3,0)))</f>
        <v>4</v>
      </c>
      <c r="Y21" s="2">
        <f t="shared" si="0"/>
        <v>5</v>
      </c>
      <c r="Z21" s="2">
        <f t="shared" si="1"/>
        <v>0</v>
      </c>
      <c r="AA21" s="2">
        <f t="shared" si="2"/>
        <v>5</v>
      </c>
      <c r="AB21" s="2">
        <f t="shared" si="3"/>
        <v>0</v>
      </c>
    </row>
    <row r="22" spans="2:28" ht="12.75">
      <c r="B22" s="2">
        <v>2</v>
      </c>
      <c r="C22" s="1" t="s">
        <v>41</v>
      </c>
      <c r="D22" s="1" t="s">
        <v>34</v>
      </c>
      <c r="E22" s="1" t="s">
        <v>36</v>
      </c>
      <c r="F22" s="1" t="s">
        <v>27</v>
      </c>
      <c r="G22" s="3">
        <f>VLOOKUP($C22,Size!$A$2:$F$13,6,0)</f>
        <v>2</v>
      </c>
      <c r="I22" s="3">
        <f>INT(VLOOKUP($C22,Size!$A$2:$Z$13,16,0)*$B22/3)</f>
        <v>2</v>
      </c>
      <c r="J22" s="3">
        <f>INT(($B22*VLOOKUP($E22,Type!$A$2:$U$15,12,0))+((VLOOKUP($E22,Type!$A$2:$U$15,13,0)-VLOOKUP($E22,Type!$A$2:$U$15,12,0))*VLOOKUP($C22,Size!$A$2:$Z$13,17,0)*$B22))</f>
        <v>2</v>
      </c>
      <c r="K22" s="3">
        <f>INT(($B22*VLOOKUP($E22,Type!$A$2:$U$15,8,0))+((VLOOKUP($E22,Type!$A$2:$U$15,9,0)-VLOOKUP($E22,Type!$A$2:$U$15,8,0))*VLOOKUP($D22,Role!$A$2:$O$9,10,0)*$B22))</f>
        <v>1</v>
      </c>
      <c r="L22" s="3">
        <f>INT(($B22*VLOOKUP($E22,Type!$A$2:$U$15,4,0))+((VLOOKUP($E22,Type!$A$2:$U$15,5,0)-VLOOKUP($E22,Type!$A$2:$U$15,4,0))*$B22))</f>
        <v>1</v>
      </c>
      <c r="M22" s="3">
        <f>INT($B22*VLOOKUP($D22,Role!$A$2:$O$9,10,0)*VLOOKUP($D22,Role!$A$2:$O$9,11,0))</f>
        <v>2</v>
      </c>
      <c r="N22" s="3">
        <f>INT(($B22*VLOOKUP($E22,Type!$A$2:$U$15,20,0))+((VLOOKUP($E22,Type!$A$2:$U$15,21,0)-VLOOKUP($E22,Type!$A$2:$U$15,20,0))*$B22))</f>
        <v>0</v>
      </c>
      <c r="P22" s="3">
        <f>INT(VLOOKUP($D22,Role!$A$2:$O$9,8,0)*$B22)</f>
        <v>2</v>
      </c>
      <c r="Q22" s="3">
        <f>INT(VLOOKUP($D22,Role!$A$2:$O$9,9,0)*$B22)</f>
        <v>2</v>
      </c>
      <c r="R22" s="3">
        <f>INT(VLOOKUP($C22,Size!$A$2:$Z$13,18,0)*VLOOKUP($D22,Role!$A$2:$O$9,13,0)*$B22/2)</f>
        <v>16</v>
      </c>
      <c r="S22" s="3">
        <f>INT((10+$M22)*VLOOKUP($D22,Role!$A$2:$O$9,14,0))</f>
        <v>12</v>
      </c>
      <c r="T22" s="3">
        <f>INT($I22*VLOOKUP($D22,Role!$A$2:$O$9,12,0))</f>
        <v>2</v>
      </c>
      <c r="V22" s="2">
        <f>ROUND(MAX($J22,$L22)+(MIN($J22,$L22)*VLOOKUP($D22,Role!$A$2:$O$9,14,0)),0)</f>
        <v>3</v>
      </c>
      <c r="W22" s="2">
        <f>MAX(1,INT(((MIN($I22:$J22)+(MAX($I22:$J22)*$G22*VLOOKUP($D22,Role!$A$2:$O$9,15,0))))*VLOOKUP($F22,Movement!$A$2:$C$7,3,0)))</f>
        <v>6</v>
      </c>
      <c r="Y22" s="2">
        <f t="shared" si="0"/>
        <v>5</v>
      </c>
      <c r="Z22" s="2">
        <f t="shared" si="1"/>
        <v>0</v>
      </c>
      <c r="AA22" s="2">
        <f t="shared" si="2"/>
        <v>5</v>
      </c>
      <c r="AB22" s="2">
        <f t="shared" si="3"/>
        <v>0</v>
      </c>
    </row>
    <row r="23" spans="2:28" ht="12.75">
      <c r="B23" s="2">
        <v>2</v>
      </c>
      <c r="C23" s="1" t="s">
        <v>42</v>
      </c>
      <c r="D23" s="1" t="s">
        <v>34</v>
      </c>
      <c r="E23" s="1" t="s">
        <v>36</v>
      </c>
      <c r="F23" s="1" t="s">
        <v>27</v>
      </c>
      <c r="G23" s="3">
        <f>VLOOKUP($C23,Size!$A$2:$F$13,6,0)</f>
        <v>3</v>
      </c>
      <c r="I23" s="3">
        <f>INT(VLOOKUP($C23,Size!$A$2:$Z$13,16,0)*$B23/3)</f>
        <v>2</v>
      </c>
      <c r="J23" s="3">
        <f>INT(($B23*VLOOKUP($E23,Type!$A$2:$U$15,12,0))+((VLOOKUP($E23,Type!$A$2:$U$15,13,0)-VLOOKUP($E23,Type!$A$2:$U$15,12,0))*VLOOKUP($C23,Size!$A$2:$Z$13,17,0)*$B23))</f>
        <v>2</v>
      </c>
      <c r="K23" s="3">
        <f>INT(($B23*VLOOKUP($E23,Type!$A$2:$U$15,8,0))+((VLOOKUP($E23,Type!$A$2:$U$15,9,0)-VLOOKUP($E23,Type!$A$2:$U$15,8,0))*VLOOKUP($D23,Role!$A$2:$O$9,10,0)*$B23))</f>
        <v>1</v>
      </c>
      <c r="L23" s="3">
        <f>INT(($B23*VLOOKUP($E23,Type!$A$2:$U$15,4,0))+((VLOOKUP($E23,Type!$A$2:$U$15,5,0)-VLOOKUP($E23,Type!$A$2:$U$15,4,0))*$B23))</f>
        <v>1</v>
      </c>
      <c r="M23" s="3">
        <f>INT($B23*VLOOKUP($D23,Role!$A$2:$O$9,10,0)*VLOOKUP($D23,Role!$A$2:$O$9,11,0))</f>
        <v>2</v>
      </c>
      <c r="N23" s="3">
        <f>INT(($B23*VLOOKUP($E23,Type!$A$2:$U$15,20,0))+((VLOOKUP($E23,Type!$A$2:$U$15,21,0)-VLOOKUP($E23,Type!$A$2:$U$15,20,0))*$B23))</f>
        <v>0</v>
      </c>
      <c r="P23" s="3">
        <f>INT(VLOOKUP($D23,Role!$A$2:$O$9,8,0)*$B23)</f>
        <v>2</v>
      </c>
      <c r="Q23" s="3">
        <f>INT(VLOOKUP($D23,Role!$A$2:$O$9,9,0)*$B23)</f>
        <v>2</v>
      </c>
      <c r="R23" s="3">
        <f>INT(VLOOKUP($C23,Size!$A$2:$Z$13,18,0)*VLOOKUP($D23,Role!$A$2:$O$9,13,0)*$B23/2)</f>
        <v>21</v>
      </c>
      <c r="S23" s="3">
        <f>INT((10+$M23)*VLOOKUP($D23,Role!$A$2:$O$9,14,0))</f>
        <v>12</v>
      </c>
      <c r="T23" s="3">
        <f>INT($I23*VLOOKUP($D23,Role!$A$2:$O$9,12,0))</f>
        <v>2</v>
      </c>
      <c r="V23" s="2">
        <f>ROUND(MAX($J23,$L23)+(MIN($J23,$L23)*VLOOKUP($D23,Role!$A$2:$O$9,14,0)),0)</f>
        <v>3</v>
      </c>
      <c r="W23" s="2">
        <f>MAX(1,INT(((MIN($I23:$J23)+(MAX($I23:$J23)*$G23*VLOOKUP($D23,Role!$A$2:$O$9,15,0))))*VLOOKUP($F23,Movement!$A$2:$C$7,3,0)))</f>
        <v>8</v>
      </c>
      <c r="Y23" s="2">
        <f t="shared" si="0"/>
        <v>5</v>
      </c>
      <c r="Z23" s="2">
        <f t="shared" si="1"/>
        <v>0</v>
      </c>
      <c r="AA23" s="2">
        <f t="shared" si="2"/>
        <v>4</v>
      </c>
      <c r="AB23" s="2">
        <f t="shared" si="3"/>
        <v>0</v>
      </c>
    </row>
    <row r="24" spans="2:28" ht="12.75">
      <c r="B24" s="2">
        <v>2</v>
      </c>
      <c r="C24" s="1" t="s">
        <v>43</v>
      </c>
      <c r="D24" s="1" t="s">
        <v>34</v>
      </c>
      <c r="E24" s="1" t="s">
        <v>36</v>
      </c>
      <c r="F24" s="1" t="s">
        <v>27</v>
      </c>
      <c r="G24" s="3">
        <f>VLOOKUP($C24,Size!$A$2:$F$13,6,0)</f>
        <v>4</v>
      </c>
      <c r="I24" s="3">
        <f>INT(VLOOKUP($C24,Size!$A$2:$Z$13,16,0)*$B24/3)</f>
        <v>2</v>
      </c>
      <c r="J24" s="3">
        <f>INT(($B24*VLOOKUP($E24,Type!$A$2:$U$15,12,0))+((VLOOKUP($E24,Type!$A$2:$U$15,13,0)-VLOOKUP($E24,Type!$A$2:$U$15,12,0))*VLOOKUP($C24,Size!$A$2:$Z$13,17,0)*$B24))</f>
        <v>2</v>
      </c>
      <c r="K24" s="3">
        <f>INT(($B24*VLOOKUP($E24,Type!$A$2:$U$15,8,0))+((VLOOKUP($E24,Type!$A$2:$U$15,9,0)-VLOOKUP($E24,Type!$A$2:$U$15,8,0))*VLOOKUP($D24,Role!$A$2:$O$9,10,0)*$B24))</f>
        <v>1</v>
      </c>
      <c r="L24" s="3">
        <f>INT(($B24*VLOOKUP($E24,Type!$A$2:$U$15,4,0))+((VLOOKUP($E24,Type!$A$2:$U$15,5,0)-VLOOKUP($E24,Type!$A$2:$U$15,4,0))*$B24))</f>
        <v>1</v>
      </c>
      <c r="M24" s="3">
        <f>INT($B24*VLOOKUP($D24,Role!$A$2:$O$9,10,0)*VLOOKUP($D24,Role!$A$2:$O$9,11,0))</f>
        <v>2</v>
      </c>
      <c r="N24" s="3">
        <f>INT(($B24*VLOOKUP($E24,Type!$A$2:$U$15,20,0))+((VLOOKUP($E24,Type!$A$2:$U$15,21,0)-VLOOKUP($E24,Type!$A$2:$U$15,20,0))*$B24))</f>
        <v>0</v>
      </c>
      <c r="P24" s="3">
        <f>INT(VLOOKUP($D24,Role!$A$2:$O$9,8,0)*$B24)</f>
        <v>2</v>
      </c>
      <c r="Q24" s="3">
        <f>INT(VLOOKUP($D24,Role!$A$2:$O$9,9,0)*$B24)</f>
        <v>2</v>
      </c>
      <c r="R24" s="3">
        <f>INT(VLOOKUP($C24,Size!$A$2:$Z$13,18,0)*VLOOKUP($D24,Role!$A$2:$O$9,13,0)*$B24/2)</f>
        <v>25</v>
      </c>
      <c r="S24" s="3">
        <f>INT((10+$M24)*VLOOKUP($D24,Role!$A$2:$O$9,14,0))</f>
        <v>12</v>
      </c>
      <c r="T24" s="3">
        <f>INT($I24*VLOOKUP($D24,Role!$A$2:$O$9,12,0))</f>
        <v>2</v>
      </c>
      <c r="V24" s="2">
        <f>ROUND(MAX($J24,$L24)+(MIN($J24,$L24)*VLOOKUP($D24,Role!$A$2:$O$9,14,0)),0)</f>
        <v>3</v>
      </c>
      <c r="W24" s="2">
        <f>MAX(1,INT(((MIN($I24:$J24)+(MAX($I24:$J24)*$G24*VLOOKUP($D24,Role!$A$2:$O$9,15,0))))*VLOOKUP($F24,Movement!$A$2:$C$7,3,0)))</f>
        <v>10</v>
      </c>
      <c r="Y24" s="2">
        <f t="shared" si="0"/>
        <v>6</v>
      </c>
      <c r="Z24" s="2">
        <f t="shared" si="1"/>
        <v>0</v>
      </c>
      <c r="AA24" s="2">
        <f t="shared" si="2"/>
        <v>4</v>
      </c>
      <c r="AB24" s="2">
        <f t="shared" si="3"/>
        <v>0</v>
      </c>
    </row>
    <row r="25" spans="2:28" ht="12.75">
      <c r="B25" s="2">
        <v>2</v>
      </c>
      <c r="C25" s="1" t="s">
        <v>44</v>
      </c>
      <c r="D25" s="1" t="s">
        <v>34</v>
      </c>
      <c r="E25" s="1" t="s">
        <v>36</v>
      </c>
      <c r="F25" s="1" t="s">
        <v>27</v>
      </c>
      <c r="G25" s="3">
        <f>VLOOKUP($C25,Size!$A$2:$F$13,6,0)</f>
        <v>5</v>
      </c>
      <c r="I25" s="3">
        <f>INT(VLOOKUP($C25,Size!$A$2:$Z$13,16,0)*$B25/3)</f>
        <v>3</v>
      </c>
      <c r="J25" s="3">
        <f>INT(($B25*VLOOKUP($E25,Type!$A$2:$U$15,12,0))+((VLOOKUP($E25,Type!$A$2:$U$15,13,0)-VLOOKUP($E25,Type!$A$2:$U$15,12,0))*VLOOKUP($C25,Size!$A$2:$Z$13,17,0)*$B25))</f>
        <v>2</v>
      </c>
      <c r="K25" s="3">
        <f>INT(($B25*VLOOKUP($E25,Type!$A$2:$U$15,8,0))+((VLOOKUP($E25,Type!$A$2:$U$15,9,0)-VLOOKUP($E25,Type!$A$2:$U$15,8,0))*VLOOKUP($D25,Role!$A$2:$O$9,10,0)*$B25))</f>
        <v>1</v>
      </c>
      <c r="L25" s="3">
        <f>INT(($B25*VLOOKUP($E25,Type!$A$2:$U$15,4,0))+((VLOOKUP($E25,Type!$A$2:$U$15,5,0)-VLOOKUP($E25,Type!$A$2:$U$15,4,0))*$B25))</f>
        <v>1</v>
      </c>
      <c r="M25" s="3">
        <f>INT($B25*VLOOKUP($D25,Role!$A$2:$O$9,10,0)*VLOOKUP($D25,Role!$A$2:$O$9,11,0))</f>
        <v>2</v>
      </c>
      <c r="N25" s="3">
        <f>INT(($B25*VLOOKUP($E25,Type!$A$2:$U$15,20,0))+((VLOOKUP($E25,Type!$A$2:$U$15,21,0)-VLOOKUP($E25,Type!$A$2:$U$15,20,0))*$B25))</f>
        <v>0</v>
      </c>
      <c r="P25" s="3">
        <f>INT(VLOOKUP($D25,Role!$A$2:$O$9,8,0)*$B25)</f>
        <v>2</v>
      </c>
      <c r="Q25" s="3">
        <f>INT(VLOOKUP($D25,Role!$A$2:$O$9,9,0)*$B25)</f>
        <v>2</v>
      </c>
      <c r="R25" s="3">
        <f>INT(VLOOKUP($C25,Size!$A$2:$Z$13,18,0)*VLOOKUP($D25,Role!$A$2:$O$9,13,0)*$B25/2)</f>
        <v>31</v>
      </c>
      <c r="S25" s="3">
        <f>INT((10+$M25)*VLOOKUP($D25,Role!$A$2:$O$9,14,0))</f>
        <v>12</v>
      </c>
      <c r="T25" s="3">
        <f>INT($I25*VLOOKUP($D25,Role!$A$2:$O$9,12,0))</f>
        <v>3</v>
      </c>
      <c r="V25" s="2">
        <f>ROUND(MAX($J25,$L25)+(MIN($J25,$L25)*VLOOKUP($D25,Role!$A$2:$O$9,14,0)),0)</f>
        <v>3</v>
      </c>
      <c r="W25" s="2">
        <f>MAX(1,INT(((MIN($I25:$J25)+(MAX($I25:$J25)*$G25*VLOOKUP($D25,Role!$A$2:$O$9,15,0))))*VLOOKUP($F25,Movement!$A$2:$C$7,3,0)))</f>
        <v>17</v>
      </c>
      <c r="Y25" s="2">
        <f t="shared" si="0"/>
        <v>6</v>
      </c>
      <c r="Z25" s="2">
        <f t="shared" si="1"/>
        <v>0</v>
      </c>
      <c r="AA25" s="2">
        <f t="shared" si="2"/>
        <v>4</v>
      </c>
      <c r="AB25" s="2">
        <f t="shared" si="3"/>
        <v>0</v>
      </c>
    </row>
    <row r="26" spans="2:28" ht="12.75">
      <c r="B26" s="2">
        <v>2</v>
      </c>
      <c r="C26" s="1" t="s">
        <v>45</v>
      </c>
      <c r="D26" s="1" t="s">
        <v>34</v>
      </c>
      <c r="E26" s="1" t="s">
        <v>36</v>
      </c>
      <c r="F26" s="1" t="s">
        <v>27</v>
      </c>
      <c r="G26" s="3">
        <f>VLOOKUP($C26,Size!$A$2:$F$13,6,0)</f>
        <v>6</v>
      </c>
      <c r="I26" s="3">
        <f>INT(VLOOKUP($C26,Size!$A$2:$Z$13,16,0)*$B26/3)</f>
        <v>3</v>
      </c>
      <c r="J26" s="3">
        <f>INT(($B26*VLOOKUP($E26,Type!$A$2:$U$15,12,0))+((VLOOKUP($E26,Type!$A$2:$U$15,13,0)-VLOOKUP($E26,Type!$A$2:$U$15,12,0))*VLOOKUP($C26,Size!$A$2:$Z$13,17,0)*$B26))</f>
        <v>2</v>
      </c>
      <c r="K26" s="3">
        <f>INT(($B26*VLOOKUP($E26,Type!$A$2:$U$15,8,0))+((VLOOKUP($E26,Type!$A$2:$U$15,9,0)-VLOOKUP($E26,Type!$A$2:$U$15,8,0))*VLOOKUP($D26,Role!$A$2:$O$9,10,0)*$B26))</f>
        <v>1</v>
      </c>
      <c r="L26" s="3">
        <f>INT(($B26*VLOOKUP($E26,Type!$A$2:$U$15,4,0))+((VLOOKUP($E26,Type!$A$2:$U$15,5,0)-VLOOKUP($E26,Type!$A$2:$U$15,4,0))*$B26))</f>
        <v>1</v>
      </c>
      <c r="M26" s="3">
        <f>INT($B26*VLOOKUP($D26,Role!$A$2:$O$9,10,0)*VLOOKUP($D26,Role!$A$2:$O$9,11,0))</f>
        <v>2</v>
      </c>
      <c r="N26" s="3">
        <f>INT(($B26*VLOOKUP($E26,Type!$A$2:$U$15,20,0))+((VLOOKUP($E26,Type!$A$2:$U$15,21,0)-VLOOKUP($E26,Type!$A$2:$U$15,20,0))*$B26))</f>
        <v>0</v>
      </c>
      <c r="P26" s="3">
        <f>INT(VLOOKUP($D26,Role!$A$2:$O$9,8,0)*$B26)</f>
        <v>2</v>
      </c>
      <c r="Q26" s="3">
        <f>INT(VLOOKUP($D26,Role!$A$2:$O$9,9,0)*$B26)</f>
        <v>2</v>
      </c>
      <c r="R26" s="3">
        <f>INT(VLOOKUP($C26,Size!$A$2:$Z$13,18,0)*VLOOKUP($D26,Role!$A$2:$O$9,13,0)*$B26/2)</f>
        <v>38</v>
      </c>
      <c r="S26" s="3">
        <f>INT((10+$M26)*VLOOKUP($D26,Role!$A$2:$O$9,14,0))</f>
        <v>12</v>
      </c>
      <c r="T26" s="3">
        <f>INT($I26*VLOOKUP($D26,Role!$A$2:$O$9,12,0))</f>
        <v>3</v>
      </c>
      <c r="V26" s="2">
        <f>ROUND(MAX($J26,$L26)+(MIN($J26,$L26)*VLOOKUP($D26,Role!$A$2:$O$9,14,0)),0)</f>
        <v>3</v>
      </c>
      <c r="W26" s="2">
        <f>MAX(1,INT(((MIN($I26:$J26)+(MAX($I26:$J26)*$G26*VLOOKUP($D26,Role!$A$2:$O$9,15,0))))*VLOOKUP($F26,Movement!$A$2:$C$7,3,0)))</f>
        <v>20</v>
      </c>
      <c r="Y26" s="2">
        <f t="shared" si="0"/>
        <v>6</v>
      </c>
      <c r="Z26" s="2">
        <f t="shared" si="1"/>
        <v>0</v>
      </c>
      <c r="AA26" s="2">
        <f t="shared" si="2"/>
        <v>3</v>
      </c>
      <c r="AB26" s="2">
        <f t="shared" si="3"/>
        <v>0</v>
      </c>
    </row>
    <row r="27" spans="2:28" ht="12.75">
      <c r="B27" s="2">
        <v>2</v>
      </c>
      <c r="C27" s="1" t="s">
        <v>46</v>
      </c>
      <c r="D27" s="1" t="s">
        <v>34</v>
      </c>
      <c r="E27" s="1" t="s">
        <v>36</v>
      </c>
      <c r="F27" s="1" t="s">
        <v>27</v>
      </c>
      <c r="G27" s="3">
        <f>VLOOKUP($C27,Size!$A$2:$F$13,6,0)</f>
        <v>7</v>
      </c>
      <c r="I27" s="3">
        <f>INT(VLOOKUP($C27,Size!$A$2:$Z$13,16,0)*$B27/3)</f>
        <v>3</v>
      </c>
      <c r="J27" s="3">
        <f>INT(($B27*VLOOKUP($E27,Type!$A$2:$U$15,12,0))+((VLOOKUP($E27,Type!$A$2:$U$15,13,0)-VLOOKUP($E27,Type!$A$2:$U$15,12,0))*VLOOKUP($C27,Size!$A$2:$Z$13,17,0)*$B27))</f>
        <v>2</v>
      </c>
      <c r="K27" s="3">
        <f>INT(($B27*VLOOKUP($E27,Type!$A$2:$U$15,8,0))+((VLOOKUP($E27,Type!$A$2:$U$15,9,0)-VLOOKUP($E27,Type!$A$2:$U$15,8,0))*VLOOKUP($D27,Role!$A$2:$O$9,10,0)*$B27))</f>
        <v>1</v>
      </c>
      <c r="L27" s="3">
        <f>INT(($B27*VLOOKUP($E27,Type!$A$2:$U$15,4,0))+((VLOOKUP($E27,Type!$A$2:$U$15,5,0)-VLOOKUP($E27,Type!$A$2:$U$15,4,0))*$B27))</f>
        <v>1</v>
      </c>
      <c r="M27" s="3">
        <f>INT($B27*VLOOKUP($D27,Role!$A$2:$O$9,10,0)*VLOOKUP($D27,Role!$A$2:$O$9,11,0))</f>
        <v>2</v>
      </c>
      <c r="N27" s="3">
        <f>INT(($B27*VLOOKUP($E27,Type!$A$2:$U$15,20,0))+((VLOOKUP($E27,Type!$A$2:$U$15,21,0)-VLOOKUP($E27,Type!$A$2:$U$15,20,0))*$B27))</f>
        <v>0</v>
      </c>
      <c r="P27" s="3">
        <f>INT(VLOOKUP($D27,Role!$A$2:$O$9,8,0)*$B27)</f>
        <v>2</v>
      </c>
      <c r="Q27" s="3">
        <f>INT(VLOOKUP($D27,Role!$A$2:$O$9,9,0)*$B27)</f>
        <v>2</v>
      </c>
      <c r="R27" s="3">
        <f>INT(VLOOKUP($C27,Size!$A$2:$Z$13,18,0)*VLOOKUP($D27,Role!$A$2:$O$9,13,0)*$B27/2)</f>
        <v>46</v>
      </c>
      <c r="S27" s="3">
        <f>INT((10+$M27)*VLOOKUP($D27,Role!$A$2:$O$9,14,0))</f>
        <v>12</v>
      </c>
      <c r="T27" s="3">
        <f>INT($I27*VLOOKUP($D27,Role!$A$2:$O$9,12,0))</f>
        <v>3</v>
      </c>
      <c r="V27" s="2">
        <f>ROUND(MAX($J27,$L27)+(MIN($J27,$L27)*VLOOKUP($D27,Role!$A$2:$O$9,14,0)),0)</f>
        <v>3</v>
      </c>
      <c r="W27" s="2">
        <f>MAX(1,INT(((MIN($I27:$J27)+(MAX($I27:$J27)*$G27*VLOOKUP($D27,Role!$A$2:$O$9,15,0))))*VLOOKUP($F27,Movement!$A$2:$C$7,3,0)))</f>
        <v>23</v>
      </c>
      <c r="Y27" s="2">
        <f t="shared" si="0"/>
        <v>7</v>
      </c>
      <c r="Z27" s="2">
        <f t="shared" si="1"/>
        <v>0</v>
      </c>
      <c r="AA27" s="2">
        <f t="shared" si="2"/>
        <v>3</v>
      </c>
      <c r="AB27" s="2">
        <f t="shared" si="3"/>
        <v>0</v>
      </c>
    </row>
    <row r="28" spans="2:28" ht="12.75">
      <c r="B28" s="2">
        <v>2</v>
      </c>
      <c r="C28" s="1" t="s">
        <v>24</v>
      </c>
      <c r="D28" s="1" t="s">
        <v>34</v>
      </c>
      <c r="E28" s="1" t="s">
        <v>36</v>
      </c>
      <c r="F28" s="1" t="s">
        <v>27</v>
      </c>
      <c r="G28" s="3">
        <f>VLOOKUP($C28,Size!$A$2:$F$13,6,0)</f>
        <v>1</v>
      </c>
      <c r="I28" s="3">
        <f>INT(VLOOKUP($C28,Size!$A$2:$Z$13,16,0)*$B28/3)</f>
        <v>2</v>
      </c>
      <c r="J28" s="3">
        <f>INT(($B28*VLOOKUP($E28,Type!$A$2:$U$15,12,0))+((VLOOKUP($E28,Type!$A$2:$U$15,13,0)-VLOOKUP($E28,Type!$A$2:$U$15,12,0))*VLOOKUP($C28,Size!$A$2:$Z$13,17,0)*$B28))</f>
        <v>2</v>
      </c>
      <c r="K28" s="3">
        <f>INT(($B28*VLOOKUP($E28,Type!$A$2:$U$15,8,0))+((VLOOKUP($E28,Type!$A$2:$U$15,9,0)-VLOOKUP($E28,Type!$A$2:$U$15,8,0))*VLOOKUP($D28,Role!$A$2:$O$9,10,0)*$B28))</f>
        <v>1</v>
      </c>
      <c r="L28" s="3">
        <f>INT(($B28*VLOOKUP($E28,Type!$A$2:$U$15,4,0))+((VLOOKUP($E28,Type!$A$2:$U$15,5,0)-VLOOKUP($E28,Type!$A$2:$U$15,4,0))*$B28))</f>
        <v>1</v>
      </c>
      <c r="M28" s="3">
        <f>INT($B28*VLOOKUP($D28,Role!$A$2:$O$9,10,0)*VLOOKUP($D28,Role!$A$2:$O$9,11,0))</f>
        <v>2</v>
      </c>
      <c r="N28" s="3">
        <f>INT(($B28*VLOOKUP($E28,Type!$A$2:$U$15,20,0))+((VLOOKUP($E28,Type!$A$2:$U$15,21,0)-VLOOKUP($E28,Type!$A$2:$U$15,20,0))*$B28))</f>
        <v>0</v>
      </c>
      <c r="P28" s="3">
        <f>INT(VLOOKUP($D28,Role!$A$2:$O$9,8,0)*$B28)</f>
        <v>2</v>
      </c>
      <c r="Q28" s="3">
        <f>INT(VLOOKUP($D28,Role!$A$2:$O$9,9,0)*$B28)</f>
        <v>2</v>
      </c>
      <c r="R28" s="3">
        <f>INT(VLOOKUP($C28,Size!$A$2:$Z$13,18,0)*VLOOKUP($D28,Role!$A$2:$O$9,13,0)*$B28/2)</f>
        <v>13</v>
      </c>
      <c r="S28" s="3">
        <f>INT((10+$M28)*VLOOKUP($D28,Role!$A$2:$O$9,14,0))</f>
        <v>12</v>
      </c>
      <c r="T28" s="3">
        <f>INT($I28*VLOOKUP($D28,Role!$A$2:$O$9,12,0))</f>
        <v>2</v>
      </c>
      <c r="V28" s="2">
        <f>ROUND(MAX($J28,$L28)+(MIN($J28,$L28)*VLOOKUP($D28,Role!$A$2:$O$9,14,0)),0)</f>
        <v>3</v>
      </c>
      <c r="W28" s="2">
        <f>MAX(1,INT(((MIN($I28:$J28)+(MAX($I28:$J28)*$G28*VLOOKUP($D28,Role!$A$2:$O$9,15,0))))*VLOOKUP($F28,Movement!$A$2:$C$7,3,0)))</f>
        <v>4</v>
      </c>
      <c r="Y28" s="2">
        <f t="shared" si="0"/>
        <v>5</v>
      </c>
      <c r="Z28" s="2">
        <f t="shared" si="1"/>
        <v>0</v>
      </c>
      <c r="AA28" s="2">
        <f t="shared" si="2"/>
        <v>5</v>
      </c>
      <c r="AB28" s="2">
        <f t="shared" si="3"/>
        <v>0</v>
      </c>
    </row>
    <row r="29" spans="2:28" ht="12.75">
      <c r="B29" s="2">
        <v>2</v>
      </c>
      <c r="C29" s="1" t="s">
        <v>24</v>
      </c>
      <c r="D29" s="1" t="s">
        <v>34</v>
      </c>
      <c r="E29" s="1" t="s">
        <v>36</v>
      </c>
      <c r="F29" s="1" t="s">
        <v>27</v>
      </c>
      <c r="G29" s="3">
        <f>VLOOKUP($C29,Size!$A$2:$F$13,6,0)</f>
        <v>1</v>
      </c>
      <c r="I29" s="3">
        <f>INT(VLOOKUP($C29,Size!$A$2:$Z$13,16,0)*$B29/3)</f>
        <v>2</v>
      </c>
      <c r="J29" s="3">
        <f>INT(($B29*VLOOKUP($E29,Type!$A$2:$U$15,12,0))+((VLOOKUP($E29,Type!$A$2:$U$15,13,0)-VLOOKUP($E29,Type!$A$2:$U$15,12,0))*VLOOKUP($C29,Size!$A$2:$Z$13,17,0)*$B29))</f>
        <v>2</v>
      </c>
      <c r="K29" s="3">
        <f>INT(($B29*VLOOKUP($E29,Type!$A$2:$U$15,8,0))+((VLOOKUP($E29,Type!$A$2:$U$15,9,0)-VLOOKUP($E29,Type!$A$2:$U$15,8,0))*VLOOKUP($D29,Role!$A$2:$O$9,10,0)*$B29))</f>
        <v>1</v>
      </c>
      <c r="L29" s="3">
        <f>INT(($B29*VLOOKUP($E29,Type!$A$2:$U$15,4,0))+((VLOOKUP($E29,Type!$A$2:$U$15,5,0)-VLOOKUP($E29,Type!$A$2:$U$15,4,0))*$B29))</f>
        <v>1</v>
      </c>
      <c r="M29" s="3">
        <f>INT($B29*VLOOKUP($D29,Role!$A$2:$O$9,10,0)*VLOOKUP($D29,Role!$A$2:$O$9,11,0))</f>
        <v>2</v>
      </c>
      <c r="N29" s="3">
        <f>INT(($B29*VLOOKUP($E29,Type!$A$2:$U$15,20,0))+((VLOOKUP($E29,Type!$A$2:$U$15,21,0)-VLOOKUP($E29,Type!$A$2:$U$15,20,0))*$B29))</f>
        <v>0</v>
      </c>
      <c r="P29" s="3">
        <f>INT(VLOOKUP($D29,Role!$A$2:$O$9,8,0)*$B29)</f>
        <v>2</v>
      </c>
      <c r="Q29" s="3">
        <f>INT(VLOOKUP($D29,Role!$A$2:$O$9,9,0)*$B29)</f>
        <v>2</v>
      </c>
      <c r="R29" s="3">
        <f>INT(VLOOKUP($C29,Size!$A$2:$Z$13,18,0)*VLOOKUP($D29,Role!$A$2:$O$9,13,0)*$B29/2)</f>
        <v>13</v>
      </c>
      <c r="S29" s="3">
        <f>INT((10+$M29)*VLOOKUP($D29,Role!$A$2:$O$9,14,0))</f>
        <v>12</v>
      </c>
      <c r="T29" s="3">
        <f>INT($I29*VLOOKUP($D29,Role!$A$2:$O$9,12,0))</f>
        <v>2</v>
      </c>
      <c r="V29" s="2">
        <f>ROUND(MAX($J29,$L29)+(MIN($J29,$L29)*VLOOKUP($D29,Role!$A$2:$O$9,14,0)),0)</f>
        <v>3</v>
      </c>
      <c r="W29" s="2">
        <f>MAX(1,INT(((MIN($I29:$J29)+(MAX($I29:$J29)*$G29*VLOOKUP($D29,Role!$A$2:$O$9,15,0))))*VLOOKUP($F29,Movement!$A$2:$C$7,3,0)))</f>
        <v>4</v>
      </c>
      <c r="Y29" s="2">
        <f t="shared" si="0"/>
        <v>5</v>
      </c>
      <c r="Z29" s="2">
        <f t="shared" si="1"/>
        <v>0</v>
      </c>
      <c r="AA29" s="2">
        <f t="shared" si="2"/>
        <v>5</v>
      </c>
      <c r="AB29" s="2">
        <f t="shared" si="3"/>
        <v>0</v>
      </c>
    </row>
    <row r="30" spans="2:28" ht="12.75">
      <c r="B30" s="2">
        <v>2</v>
      </c>
      <c r="C30" s="1" t="s">
        <v>24</v>
      </c>
      <c r="D30" s="1" t="s">
        <v>34</v>
      </c>
      <c r="E30" s="1" t="s">
        <v>36</v>
      </c>
      <c r="F30" s="1" t="s">
        <v>27</v>
      </c>
      <c r="G30" s="3">
        <f>VLOOKUP($C30,Size!$A$2:$F$13,6,0)</f>
        <v>1</v>
      </c>
      <c r="I30" s="3">
        <f>INT(VLOOKUP($C30,Size!$A$2:$Z$13,16,0)*$B30/3)</f>
        <v>2</v>
      </c>
      <c r="J30" s="3">
        <f>INT(($B30*VLOOKUP($E30,Type!$A$2:$U$15,12,0))+((VLOOKUP($E30,Type!$A$2:$U$15,13,0)-VLOOKUP($E30,Type!$A$2:$U$15,12,0))*VLOOKUP($C30,Size!$A$2:$Z$13,17,0)*$B30))</f>
        <v>2</v>
      </c>
      <c r="K30" s="3">
        <f>INT(($B30*VLOOKUP($E30,Type!$A$2:$U$15,8,0))+((VLOOKUP($E30,Type!$A$2:$U$15,9,0)-VLOOKUP($E30,Type!$A$2:$U$15,8,0))*VLOOKUP($D30,Role!$A$2:$O$9,10,0)*$B30))</f>
        <v>1</v>
      </c>
      <c r="L30" s="3">
        <f>INT(($B30*VLOOKUP($E30,Type!$A$2:$U$15,4,0))+((VLOOKUP($E30,Type!$A$2:$U$15,5,0)-VLOOKUP($E30,Type!$A$2:$U$15,4,0))*$B30))</f>
        <v>1</v>
      </c>
      <c r="M30" s="3">
        <f>INT($B30*VLOOKUP($D30,Role!$A$2:$O$9,10,0)*VLOOKUP($D30,Role!$A$2:$O$9,11,0))</f>
        <v>2</v>
      </c>
      <c r="N30" s="3">
        <f>INT(($B30*VLOOKUP($E30,Type!$A$2:$U$15,20,0))+((VLOOKUP($E30,Type!$A$2:$U$15,21,0)-VLOOKUP($E30,Type!$A$2:$U$15,20,0))*$B30))</f>
        <v>0</v>
      </c>
      <c r="P30" s="3">
        <f>INT(VLOOKUP($D30,Role!$A$2:$O$9,8,0)*$B30)</f>
        <v>2</v>
      </c>
      <c r="Q30" s="3">
        <f>INT(VLOOKUP($D30,Role!$A$2:$O$9,9,0)*$B30)</f>
        <v>2</v>
      </c>
      <c r="R30" s="3">
        <f>INT(VLOOKUP($C30,Size!$A$2:$Z$13,18,0)*VLOOKUP($D30,Role!$A$2:$O$9,13,0)*$B30/2)</f>
        <v>13</v>
      </c>
      <c r="S30" s="3">
        <f>INT((10+$M30)*VLOOKUP($D30,Role!$A$2:$O$9,14,0))</f>
        <v>12</v>
      </c>
      <c r="T30" s="3">
        <f>INT($I30*VLOOKUP($D30,Role!$A$2:$O$9,12,0))</f>
        <v>2</v>
      </c>
      <c r="V30" s="2">
        <f>ROUND(MAX($J30,$L30)+(MIN($J30,$L30)*VLOOKUP($D30,Role!$A$2:$O$9,14,0)),0)</f>
        <v>3</v>
      </c>
      <c r="W30" s="2">
        <f>MAX(1,INT(((MIN($I30:$J30)+(MAX($I30:$J30)*$G30*VLOOKUP($D30,Role!$A$2:$O$9,15,0))))*VLOOKUP($F30,Movement!$A$2:$C$7,3,0)))</f>
        <v>4</v>
      </c>
      <c r="Y30" s="2">
        <f t="shared" si="0"/>
        <v>5</v>
      </c>
      <c r="Z30" s="2">
        <f t="shared" si="1"/>
        <v>0</v>
      </c>
      <c r="AA30" s="2">
        <f t="shared" si="2"/>
        <v>5</v>
      </c>
      <c r="AB30" s="2">
        <f t="shared" si="3"/>
        <v>0</v>
      </c>
    </row>
    <row r="31" spans="2:28" ht="12.75">
      <c r="B31" s="2">
        <v>2</v>
      </c>
      <c r="C31" s="1" t="s">
        <v>24</v>
      </c>
      <c r="D31" s="1" t="s">
        <v>34</v>
      </c>
      <c r="E31" s="1" t="s">
        <v>36</v>
      </c>
      <c r="F31" s="1" t="s">
        <v>27</v>
      </c>
      <c r="G31" s="3">
        <f>VLOOKUP($C31,Size!$A$2:$F$13,6,0)</f>
        <v>1</v>
      </c>
      <c r="I31" s="3">
        <f>INT(VLOOKUP($C31,Size!$A$2:$Z$13,16,0)*$B31/3)</f>
        <v>2</v>
      </c>
      <c r="J31" s="3">
        <f>INT(($B31*VLOOKUP($E31,Type!$A$2:$U$15,12,0))+((VLOOKUP($E31,Type!$A$2:$U$15,13,0)-VLOOKUP($E31,Type!$A$2:$U$15,12,0))*VLOOKUP($C31,Size!$A$2:$Z$13,17,0)*$B31))</f>
        <v>2</v>
      </c>
      <c r="K31" s="3">
        <f>INT(($B31*VLOOKUP($E31,Type!$A$2:$U$15,8,0))+((VLOOKUP($E31,Type!$A$2:$U$15,9,0)-VLOOKUP($E31,Type!$A$2:$U$15,8,0))*VLOOKUP($D31,Role!$A$2:$O$9,10,0)*$B31))</f>
        <v>1</v>
      </c>
      <c r="L31" s="3">
        <f>INT(($B31*VLOOKUP($E31,Type!$A$2:$U$15,4,0))+((VLOOKUP($E31,Type!$A$2:$U$15,5,0)-VLOOKUP($E31,Type!$A$2:$U$15,4,0))*$B31))</f>
        <v>1</v>
      </c>
      <c r="M31" s="3">
        <f>INT($B31*VLOOKUP($D31,Role!$A$2:$O$9,10,0)*VLOOKUP($D31,Role!$A$2:$O$9,11,0))</f>
        <v>2</v>
      </c>
      <c r="N31" s="3">
        <f>INT(($B31*VLOOKUP($E31,Type!$A$2:$U$15,20,0))+((VLOOKUP($E31,Type!$A$2:$U$15,21,0)-VLOOKUP($E31,Type!$A$2:$U$15,20,0))*$B31))</f>
        <v>0</v>
      </c>
      <c r="P31" s="3">
        <f>INT(VLOOKUP($D31,Role!$A$2:$O$9,8,0)*$B31)</f>
        <v>2</v>
      </c>
      <c r="Q31" s="3">
        <f>INT(VLOOKUP($D31,Role!$A$2:$O$9,9,0)*$B31)</f>
        <v>2</v>
      </c>
      <c r="R31" s="3">
        <f>INT(VLOOKUP($C31,Size!$A$2:$Z$13,18,0)*VLOOKUP($D31,Role!$A$2:$O$9,13,0)*$B31/2)</f>
        <v>13</v>
      </c>
      <c r="S31" s="3">
        <f>INT((10+$M31)*VLOOKUP($D31,Role!$A$2:$O$9,14,0))</f>
        <v>12</v>
      </c>
      <c r="T31" s="3">
        <f>INT($I31*VLOOKUP($D31,Role!$A$2:$O$9,12,0))</f>
        <v>2</v>
      </c>
      <c r="V31" s="2">
        <f>ROUND(MAX($J31,$L31)+(MIN($J31,$L31)*VLOOKUP($D31,Role!$A$2:$O$9,14,0)),0)</f>
        <v>3</v>
      </c>
      <c r="W31" s="2">
        <f>MAX(1,INT(((MIN($I31:$J31)+(MAX($I31:$J31)*$G31*VLOOKUP($D31,Role!$A$2:$O$9,15,0))))*VLOOKUP($F31,Movement!$A$2:$C$7,3,0)))</f>
        <v>4</v>
      </c>
      <c r="Y31" s="2">
        <f t="shared" si="0"/>
        <v>5</v>
      </c>
      <c r="Z31" s="2">
        <f t="shared" si="1"/>
        <v>0</v>
      </c>
      <c r="AA31" s="2">
        <f t="shared" si="2"/>
        <v>5</v>
      </c>
      <c r="AB31" s="2">
        <f t="shared" si="3"/>
        <v>0</v>
      </c>
    </row>
    <row r="32" spans="2:28" ht="12.75">
      <c r="B32" s="2">
        <v>2</v>
      </c>
      <c r="C32" s="1" t="s">
        <v>24</v>
      </c>
      <c r="D32" s="1" t="s">
        <v>34</v>
      </c>
      <c r="E32" s="1" t="s">
        <v>36</v>
      </c>
      <c r="F32" s="1" t="s">
        <v>27</v>
      </c>
      <c r="G32" s="3">
        <f>VLOOKUP($C32,Size!$A$2:$F$13,6,0)</f>
        <v>1</v>
      </c>
      <c r="I32" s="3">
        <f>INT(VLOOKUP($C32,Size!$A$2:$Z$13,16,0)*$B32/3)</f>
        <v>2</v>
      </c>
      <c r="J32" s="3">
        <f>INT(($B32*VLOOKUP($E32,Type!$A$2:$U$15,12,0))+((VLOOKUP($E32,Type!$A$2:$U$15,13,0)-VLOOKUP($E32,Type!$A$2:$U$15,12,0))*VLOOKUP($C32,Size!$A$2:$Z$13,17,0)*$B32))</f>
        <v>2</v>
      </c>
      <c r="K32" s="3">
        <f>INT(($B32*VLOOKUP($E32,Type!$A$2:$U$15,8,0))+((VLOOKUP($E32,Type!$A$2:$U$15,9,0)-VLOOKUP($E32,Type!$A$2:$U$15,8,0))*VLOOKUP($D32,Role!$A$2:$O$9,10,0)*$B32))</f>
        <v>1</v>
      </c>
      <c r="L32" s="3">
        <f>INT(($B32*VLOOKUP($E32,Type!$A$2:$U$15,4,0))+((VLOOKUP($E32,Type!$A$2:$U$15,5,0)-VLOOKUP($E32,Type!$A$2:$U$15,4,0))*$B32))</f>
        <v>1</v>
      </c>
      <c r="M32" s="3">
        <f>INT($B32*VLOOKUP($D32,Role!$A$2:$O$9,10,0)*VLOOKUP($D32,Role!$A$2:$O$9,11,0))</f>
        <v>2</v>
      </c>
      <c r="N32" s="3">
        <f>INT(($B32*VLOOKUP($E32,Type!$A$2:$U$15,20,0))+((VLOOKUP($E32,Type!$A$2:$U$15,21,0)-VLOOKUP($E32,Type!$A$2:$U$15,20,0))*$B32))</f>
        <v>0</v>
      </c>
      <c r="P32" s="3">
        <f>INT(VLOOKUP($D32,Role!$A$2:$O$9,8,0)*$B32)</f>
        <v>2</v>
      </c>
      <c r="Q32" s="3">
        <f>INT(VLOOKUP($D32,Role!$A$2:$O$9,9,0)*$B32)</f>
        <v>2</v>
      </c>
      <c r="R32" s="3">
        <f>INT(VLOOKUP($C32,Size!$A$2:$Z$13,18,0)*VLOOKUP($D32,Role!$A$2:$O$9,13,0)*$B32/2)</f>
        <v>13</v>
      </c>
      <c r="S32" s="3">
        <f>INT((10+$M32)*VLOOKUP($D32,Role!$A$2:$O$9,14,0))</f>
        <v>12</v>
      </c>
      <c r="T32" s="3">
        <f>INT($I32*VLOOKUP($D32,Role!$A$2:$O$9,12,0))</f>
        <v>2</v>
      </c>
      <c r="V32" s="2">
        <f>ROUND(MAX($J32,$L32)+(MIN($J32,$L32)*VLOOKUP($D32,Role!$A$2:$O$9,14,0)),0)</f>
        <v>3</v>
      </c>
      <c r="W32" s="2">
        <f>MAX(1,INT(((MIN($I32:$J32)+(MAX($I32:$J32)*$G32*VLOOKUP($D32,Role!$A$2:$O$9,15,0))))*VLOOKUP($F32,Movement!$A$2:$C$7,3,0)))</f>
        <v>4</v>
      </c>
      <c r="Y32" s="2">
        <f t="shared" si="0"/>
        <v>5</v>
      </c>
      <c r="Z32" s="2">
        <f t="shared" si="1"/>
        <v>0</v>
      </c>
      <c r="AA32" s="2">
        <f t="shared" si="2"/>
        <v>5</v>
      </c>
      <c r="AB32" s="2">
        <f t="shared" si="3"/>
        <v>0</v>
      </c>
    </row>
    <row r="33" spans="2:28" ht="12.75">
      <c r="B33" s="2">
        <v>2</v>
      </c>
      <c r="C33" s="1" t="s">
        <v>24</v>
      </c>
      <c r="D33" s="1" t="s">
        <v>34</v>
      </c>
      <c r="E33" s="1" t="s">
        <v>36</v>
      </c>
      <c r="F33" s="1" t="s">
        <v>27</v>
      </c>
      <c r="G33" s="3">
        <f>VLOOKUP($C33,Size!$A$2:$F$13,6,0)</f>
        <v>1</v>
      </c>
      <c r="I33" s="3">
        <f>INT(VLOOKUP($C33,Size!$A$2:$Z$13,16,0)*$B33/3)</f>
        <v>2</v>
      </c>
      <c r="J33" s="3">
        <f>INT(($B33*VLOOKUP($E33,Type!$A$2:$U$15,12,0))+((VLOOKUP($E33,Type!$A$2:$U$15,13,0)-VLOOKUP($E33,Type!$A$2:$U$15,12,0))*VLOOKUP($C33,Size!$A$2:$Z$13,17,0)*$B33))</f>
        <v>2</v>
      </c>
      <c r="K33" s="3">
        <f>INT(($B33*VLOOKUP($E33,Type!$A$2:$U$15,8,0))+((VLOOKUP($E33,Type!$A$2:$U$15,9,0)-VLOOKUP($E33,Type!$A$2:$U$15,8,0))*VLOOKUP($D33,Role!$A$2:$O$9,10,0)*$B33))</f>
        <v>1</v>
      </c>
      <c r="L33" s="3">
        <f>INT(($B33*VLOOKUP($E33,Type!$A$2:$U$15,4,0))+((VLOOKUP($E33,Type!$A$2:$U$15,5,0)-VLOOKUP($E33,Type!$A$2:$U$15,4,0))*$B33))</f>
        <v>1</v>
      </c>
      <c r="M33" s="3">
        <f>INT($B33*VLOOKUP($D33,Role!$A$2:$O$9,10,0)*VLOOKUP($D33,Role!$A$2:$O$9,11,0))</f>
        <v>2</v>
      </c>
      <c r="N33" s="3">
        <f>INT(($B33*VLOOKUP($E33,Type!$A$2:$U$15,20,0))+((VLOOKUP($E33,Type!$A$2:$U$15,21,0)-VLOOKUP($E33,Type!$A$2:$U$15,20,0))*$B33))</f>
        <v>0</v>
      </c>
      <c r="P33" s="3">
        <f>INT(VLOOKUP($D33,Role!$A$2:$O$9,8,0)*$B33)</f>
        <v>2</v>
      </c>
      <c r="Q33" s="3">
        <f>INT(VLOOKUP($D33,Role!$A$2:$O$9,9,0)*$B33)</f>
        <v>2</v>
      </c>
      <c r="R33" s="3">
        <f>INT(VLOOKUP($C33,Size!$A$2:$Z$13,18,0)*VLOOKUP($D33,Role!$A$2:$O$9,13,0)*$B33/2)</f>
        <v>13</v>
      </c>
      <c r="S33" s="3">
        <f>INT((10+$M33)*VLOOKUP($D33,Role!$A$2:$O$9,14,0))</f>
        <v>12</v>
      </c>
      <c r="T33" s="3">
        <f>INT($I33*VLOOKUP($D33,Role!$A$2:$O$9,12,0))</f>
        <v>2</v>
      </c>
      <c r="V33" s="2">
        <f>ROUND(MAX($J33,$L33)+(MIN($J33,$L33)*VLOOKUP($D33,Role!$A$2:$O$9,14,0)),0)</f>
        <v>3</v>
      </c>
      <c r="W33" s="2">
        <f>MAX(1,INT(((MIN($I33:$J33)+(MAX($I33:$J33)*$G33*VLOOKUP($D33,Role!$A$2:$O$9,15,0))))*VLOOKUP($F33,Movement!$A$2:$C$7,3,0)))</f>
        <v>4</v>
      </c>
      <c r="Y33" s="2">
        <f t="shared" si="0"/>
        <v>5</v>
      </c>
      <c r="Z33" s="2">
        <f t="shared" si="1"/>
        <v>0</v>
      </c>
      <c r="AA33" s="2">
        <f t="shared" si="2"/>
        <v>5</v>
      </c>
      <c r="AB33" s="2">
        <f t="shared" si="3"/>
        <v>0</v>
      </c>
    </row>
    <row r="34" spans="2:28" ht="12.75">
      <c r="B34" s="2">
        <v>2</v>
      </c>
      <c r="C34" s="1" t="s">
        <v>24</v>
      </c>
      <c r="D34" s="1" t="s">
        <v>34</v>
      </c>
      <c r="E34" s="1" t="s">
        <v>36</v>
      </c>
      <c r="F34" s="1" t="s">
        <v>27</v>
      </c>
      <c r="G34" s="3">
        <f>VLOOKUP($C34,Size!$A$2:$F$13,6,0)</f>
        <v>1</v>
      </c>
      <c r="I34" s="3">
        <f>INT(VLOOKUP($C34,Size!$A$2:$Z$13,16,0)*$B34/3)</f>
        <v>2</v>
      </c>
      <c r="J34" s="3">
        <f>INT(($B34*VLOOKUP($E34,Type!$A$2:$U$15,12,0))+((VLOOKUP($E34,Type!$A$2:$U$15,13,0)-VLOOKUP($E34,Type!$A$2:$U$15,12,0))*VLOOKUP($C34,Size!$A$2:$Z$13,17,0)*$B34))</f>
        <v>2</v>
      </c>
      <c r="K34" s="3">
        <f>INT(($B34*VLOOKUP($E34,Type!$A$2:$U$15,8,0))+((VLOOKUP($E34,Type!$A$2:$U$15,9,0)-VLOOKUP($E34,Type!$A$2:$U$15,8,0))*VLOOKUP($D34,Role!$A$2:$O$9,10,0)*$B34))</f>
        <v>1</v>
      </c>
      <c r="L34" s="3">
        <f>INT(($B34*VLOOKUP($E34,Type!$A$2:$U$15,4,0))+((VLOOKUP($E34,Type!$A$2:$U$15,5,0)-VLOOKUP($E34,Type!$A$2:$U$15,4,0))*$B34))</f>
        <v>1</v>
      </c>
      <c r="M34" s="3">
        <f>INT($B34*VLOOKUP($D34,Role!$A$2:$O$9,10,0)*VLOOKUP($D34,Role!$A$2:$O$9,11,0))</f>
        <v>2</v>
      </c>
      <c r="N34" s="3">
        <f>INT(($B34*VLOOKUP($E34,Type!$A$2:$U$15,20,0))+((VLOOKUP($E34,Type!$A$2:$U$15,21,0)-VLOOKUP($E34,Type!$A$2:$U$15,20,0))*$B34))</f>
        <v>0</v>
      </c>
      <c r="P34" s="3">
        <f>INT(VLOOKUP($D34,Role!$A$2:$O$9,8,0)*$B34)</f>
        <v>2</v>
      </c>
      <c r="Q34" s="3">
        <f>INT(VLOOKUP($D34,Role!$A$2:$O$9,9,0)*$B34)</f>
        <v>2</v>
      </c>
      <c r="R34" s="3">
        <f>INT(VLOOKUP($C34,Size!$A$2:$Z$13,18,0)*VLOOKUP($D34,Role!$A$2:$O$9,13,0)*$B34/2)</f>
        <v>13</v>
      </c>
      <c r="S34" s="3">
        <f>INT((10+$M34)*VLOOKUP($D34,Role!$A$2:$O$9,14,0))</f>
        <v>12</v>
      </c>
      <c r="T34" s="3">
        <f>INT($I34*VLOOKUP($D34,Role!$A$2:$O$9,12,0))</f>
        <v>2</v>
      </c>
      <c r="V34" s="2">
        <f>ROUND(MAX($J34,$L34)+(MIN($J34,$L34)*VLOOKUP($D34,Role!$A$2:$O$9,14,0)),0)</f>
        <v>3</v>
      </c>
      <c r="W34" s="2">
        <f>MAX(1,INT(((MIN($I34:$J34)+(MAX($I34:$J34)*$G34*VLOOKUP($D34,Role!$A$2:$O$9,15,0))))*VLOOKUP($F34,Movement!$A$2:$C$7,3,0)))</f>
        <v>4</v>
      </c>
      <c r="Y34" s="2">
        <f t="shared" si="0"/>
        <v>5</v>
      </c>
      <c r="Z34" s="2">
        <f t="shared" si="1"/>
        <v>0</v>
      </c>
      <c r="AA34" s="2">
        <f t="shared" si="2"/>
        <v>5</v>
      </c>
      <c r="AB34" s="2">
        <f t="shared" si="3"/>
        <v>0</v>
      </c>
    </row>
    <row r="35" spans="2:28" ht="12.75">
      <c r="B35" s="2">
        <v>2</v>
      </c>
      <c r="C35" s="1" t="s">
        <v>24</v>
      </c>
      <c r="D35" s="1" t="s">
        <v>34</v>
      </c>
      <c r="E35" s="1" t="s">
        <v>36</v>
      </c>
      <c r="F35" s="1" t="s">
        <v>27</v>
      </c>
      <c r="G35" s="3">
        <f>VLOOKUP($C35,Size!$A$2:$F$13,6,0)</f>
        <v>1</v>
      </c>
      <c r="I35" s="3">
        <f>INT(VLOOKUP($C35,Size!$A$2:$Z$13,16,0)*$B35/3)</f>
        <v>2</v>
      </c>
      <c r="J35" s="3">
        <f>INT(($B35*VLOOKUP($E35,Type!$A$2:$U$15,12,0))+((VLOOKUP($E35,Type!$A$2:$U$15,13,0)-VLOOKUP($E35,Type!$A$2:$U$15,12,0))*VLOOKUP($C35,Size!$A$2:$Z$13,17,0)*$B35))</f>
        <v>2</v>
      </c>
      <c r="K35" s="3">
        <f>INT(($B35*VLOOKUP($E35,Type!$A$2:$U$15,8,0))+((VLOOKUP($E35,Type!$A$2:$U$15,9,0)-VLOOKUP($E35,Type!$A$2:$U$15,8,0))*VLOOKUP($D35,Role!$A$2:$O$9,10,0)*$B35))</f>
        <v>1</v>
      </c>
      <c r="L35" s="3">
        <f>INT(($B35*VLOOKUP($E35,Type!$A$2:$U$15,4,0))+((VLOOKUP($E35,Type!$A$2:$U$15,5,0)-VLOOKUP($E35,Type!$A$2:$U$15,4,0))*$B35))</f>
        <v>1</v>
      </c>
      <c r="M35" s="3">
        <f>INT($B35*VLOOKUP($D35,Role!$A$2:$O$9,10,0)*VLOOKUP($D35,Role!$A$2:$O$9,11,0))</f>
        <v>2</v>
      </c>
      <c r="N35" s="3">
        <f>INT(($B35*VLOOKUP($E35,Type!$A$2:$U$15,20,0))+((VLOOKUP($E35,Type!$A$2:$U$15,21,0)-VLOOKUP($E35,Type!$A$2:$U$15,20,0))*$B35))</f>
        <v>0</v>
      </c>
      <c r="P35" s="3">
        <f>INT(VLOOKUP($D35,Role!$A$2:$O$9,8,0)*$B35)</f>
        <v>2</v>
      </c>
      <c r="Q35" s="3">
        <f>INT(VLOOKUP($D35,Role!$A$2:$O$9,9,0)*$B35)</f>
        <v>2</v>
      </c>
      <c r="R35" s="3">
        <f>INT(VLOOKUP($C35,Size!$A$2:$Z$13,18,0)*VLOOKUP($D35,Role!$A$2:$O$9,13,0)*$B35/2)</f>
        <v>13</v>
      </c>
      <c r="S35" s="3">
        <f>INT((10+$M35)*VLOOKUP($D35,Role!$A$2:$O$9,14,0))</f>
        <v>12</v>
      </c>
      <c r="T35" s="3">
        <f>INT($I35*VLOOKUP($D35,Role!$A$2:$O$9,12,0))</f>
        <v>2</v>
      </c>
      <c r="V35" s="2">
        <f>ROUND(MAX($J35,$L35)+(MIN($J35,$L35)*VLOOKUP($D35,Role!$A$2:$O$9,14,0)),0)</f>
        <v>3</v>
      </c>
      <c r="W35" s="2">
        <f>MAX(1,INT(((MIN($I35:$J35)+(MAX($I35:$J35)*$G35*VLOOKUP($D35,Role!$A$2:$O$9,15,0))))*VLOOKUP($F35,Movement!$A$2:$C$7,3,0)))</f>
        <v>4</v>
      </c>
      <c r="Y35" s="2">
        <f t="shared" si="0"/>
        <v>5</v>
      </c>
      <c r="Z35" s="2">
        <f t="shared" si="1"/>
        <v>0</v>
      </c>
      <c r="AA35" s="2">
        <f t="shared" si="2"/>
        <v>5</v>
      </c>
      <c r="AB35" s="2">
        <f t="shared" si="3"/>
        <v>0</v>
      </c>
    </row>
    <row r="36" spans="2:28" ht="12.75">
      <c r="B36" s="2">
        <v>2</v>
      </c>
      <c r="C36" s="1" t="s">
        <v>24</v>
      </c>
      <c r="D36" s="1" t="s">
        <v>34</v>
      </c>
      <c r="E36" s="1" t="s">
        <v>36</v>
      </c>
      <c r="F36" s="1" t="s">
        <v>27</v>
      </c>
      <c r="G36" s="3">
        <f>VLOOKUP($C36,Size!$A$2:$F$13,6,0)</f>
        <v>1</v>
      </c>
      <c r="I36" s="3">
        <f>INT(VLOOKUP($C36,Size!$A$2:$Z$13,16,0)*$B36/3)</f>
        <v>2</v>
      </c>
      <c r="J36" s="3">
        <f>INT(($B36*VLOOKUP($E36,Type!$A$2:$U$15,12,0))+((VLOOKUP($E36,Type!$A$2:$U$15,13,0)-VLOOKUP($E36,Type!$A$2:$U$15,12,0))*VLOOKUP($C36,Size!$A$2:$Z$13,17,0)*$B36))</f>
        <v>2</v>
      </c>
      <c r="K36" s="3">
        <f>INT(($B36*VLOOKUP($E36,Type!$A$2:$U$15,8,0))+((VLOOKUP($E36,Type!$A$2:$U$15,9,0)-VLOOKUP($E36,Type!$A$2:$U$15,8,0))*VLOOKUP($D36,Role!$A$2:$O$9,10,0)*$B36))</f>
        <v>1</v>
      </c>
      <c r="L36" s="3">
        <f>INT(($B36*VLOOKUP($E36,Type!$A$2:$U$15,4,0))+((VLOOKUP($E36,Type!$A$2:$U$15,5,0)-VLOOKUP($E36,Type!$A$2:$U$15,4,0))*$B36))</f>
        <v>1</v>
      </c>
      <c r="M36" s="3">
        <f>INT($B36*VLOOKUP($D36,Role!$A$2:$O$9,10,0)*VLOOKUP($D36,Role!$A$2:$O$9,11,0))</f>
        <v>2</v>
      </c>
      <c r="N36" s="3">
        <f>INT(($B36*VLOOKUP($E36,Type!$A$2:$U$15,20,0))+((VLOOKUP($E36,Type!$A$2:$U$15,21,0)-VLOOKUP($E36,Type!$A$2:$U$15,20,0))*$B36))</f>
        <v>0</v>
      </c>
      <c r="P36" s="3">
        <f>INT(VLOOKUP($D36,Role!$A$2:$O$9,8,0)*$B36)</f>
        <v>2</v>
      </c>
      <c r="Q36" s="3">
        <f>INT(VLOOKUP($D36,Role!$A$2:$O$9,9,0)*$B36)</f>
        <v>2</v>
      </c>
      <c r="R36" s="3">
        <f>INT(VLOOKUP($C36,Size!$A$2:$Z$13,18,0)*VLOOKUP($D36,Role!$A$2:$O$9,13,0)*$B36/2)</f>
        <v>13</v>
      </c>
      <c r="S36" s="3">
        <f>INT((10+$M36)*VLOOKUP($D36,Role!$A$2:$O$9,14,0))</f>
        <v>12</v>
      </c>
      <c r="T36" s="3">
        <f>INT($I36*VLOOKUP($D36,Role!$A$2:$O$9,12,0))</f>
        <v>2</v>
      </c>
      <c r="V36" s="2">
        <f>ROUND(MAX($J36,$L36)+(MIN($J36,$L36)*VLOOKUP($D36,Role!$A$2:$O$9,14,0)),0)</f>
        <v>3</v>
      </c>
      <c r="W36" s="2">
        <f>MAX(1,INT(((MIN($I36:$J36)+(MAX($I36:$J36)*$G36*VLOOKUP($D36,Role!$A$2:$O$9,15,0))))*VLOOKUP($F36,Movement!$A$2:$C$7,3,0)))</f>
        <v>4</v>
      </c>
      <c r="Y36" s="2">
        <f t="shared" si="0"/>
        <v>5</v>
      </c>
      <c r="Z36" s="2">
        <f t="shared" si="1"/>
        <v>0</v>
      </c>
      <c r="AA36" s="2">
        <f t="shared" si="2"/>
        <v>5</v>
      </c>
      <c r="AB36" s="2">
        <f t="shared" si="3"/>
        <v>0</v>
      </c>
    </row>
    <row r="37" spans="2:28" ht="12.75">
      <c r="B37" s="2">
        <v>2</v>
      </c>
      <c r="C37" s="1" t="s">
        <v>24</v>
      </c>
      <c r="D37" s="1" t="s">
        <v>34</v>
      </c>
      <c r="E37" s="1" t="s">
        <v>47</v>
      </c>
      <c r="F37" s="1" t="s">
        <v>27</v>
      </c>
      <c r="G37" s="3">
        <f>VLOOKUP($C37,Size!$A$2:$F$13,6,0)</f>
        <v>1</v>
      </c>
      <c r="I37" s="3">
        <f>INT(VLOOKUP($C37,Size!$A$2:$Z$13,16,0)*$B37/3)</f>
        <v>2</v>
      </c>
      <c r="J37" s="3">
        <f>INT(($B37*VLOOKUP($E37,Type!$A$2:$U$15,12,0))+((VLOOKUP($E37,Type!$A$2:$U$15,13,0)-VLOOKUP($E37,Type!$A$2:$U$15,12,0))*VLOOKUP($C37,Size!$A$2:$Z$13,17,0)*$B37))</f>
        <v>2</v>
      </c>
      <c r="K37" s="3">
        <f>INT(($B37*VLOOKUP($E37,Type!$A$2:$U$15,8,0))+((VLOOKUP($E37,Type!$A$2:$U$15,9,0)-VLOOKUP($E37,Type!$A$2:$U$15,8,0))*VLOOKUP($D37,Role!$A$2:$O$9,10,0)*$B37))</f>
        <v>2</v>
      </c>
      <c r="L37" s="3">
        <f>INT(($B37*VLOOKUP($E37,Type!$A$2:$U$15,4,0))+((VLOOKUP($E37,Type!$A$2:$U$15,5,0)-VLOOKUP($E37,Type!$A$2:$U$15,4,0))*$B37))</f>
        <v>1</v>
      </c>
      <c r="M37" s="3">
        <f>INT($B37*VLOOKUP($D37,Role!$A$2:$O$9,10,0)*VLOOKUP($D37,Role!$A$2:$O$9,11,0))</f>
        <v>2</v>
      </c>
      <c r="N37" s="3">
        <f>INT(($B37*VLOOKUP($E37,Type!$A$2:$U$15,20,0))+((VLOOKUP($E37,Type!$A$2:$U$15,21,0)-VLOOKUP($E37,Type!$A$2:$U$15,20,0))*$B37))</f>
        <v>2</v>
      </c>
      <c r="P37" s="3">
        <f>INT(VLOOKUP($D37,Role!$A$2:$O$9,8,0)*$B37)</f>
        <v>2</v>
      </c>
      <c r="Q37" s="3">
        <f>INT(VLOOKUP($D37,Role!$A$2:$O$9,9,0)*$B37)</f>
        <v>2</v>
      </c>
      <c r="R37" s="3">
        <f>INT(VLOOKUP($C37,Size!$A$2:$Z$13,18,0)*VLOOKUP($D37,Role!$A$2:$O$9,13,0)*$B37/2)</f>
        <v>13</v>
      </c>
      <c r="S37" s="3">
        <f>INT((10+$M37)*VLOOKUP($D37,Role!$A$2:$O$9,14,0))</f>
        <v>12</v>
      </c>
      <c r="T37" s="3">
        <f>INT($I37*VLOOKUP($D37,Role!$A$2:$O$9,12,0))</f>
        <v>2</v>
      </c>
      <c r="V37" s="2">
        <f>ROUND(MAX($J37,$L37)+(MIN($J37,$L37)*VLOOKUP($D37,Role!$A$2:$O$9,14,0)),0)</f>
        <v>3</v>
      </c>
      <c r="W37" s="2">
        <f>MAX(1,INT(((MIN($I37:$J37)+(MAX($I37:$J37)*$G37*VLOOKUP($D37,Role!$A$2:$O$9,15,0))))*VLOOKUP($F37,Movement!$A$2:$C$7,3,0)))</f>
        <v>4</v>
      </c>
      <c r="Y37" s="2">
        <f t="shared" si="0"/>
        <v>5</v>
      </c>
      <c r="Z37" s="2">
        <f t="shared" si="1"/>
        <v>0</v>
      </c>
      <c r="AA37" s="2">
        <f t="shared" si="2"/>
        <v>5</v>
      </c>
      <c r="AB37" s="2">
        <f t="shared" si="3"/>
        <v>0</v>
      </c>
    </row>
    <row r="38" spans="2:28" ht="12.75">
      <c r="B38" s="2">
        <v>4</v>
      </c>
      <c r="C38" s="1" t="s">
        <v>37</v>
      </c>
      <c r="D38" s="1" t="s">
        <v>30</v>
      </c>
      <c r="E38" s="1" t="s">
        <v>47</v>
      </c>
      <c r="F38" s="1" t="s">
        <v>27</v>
      </c>
      <c r="G38" s="3">
        <f>VLOOKUP($C38,Size!$A$2:$F$13,6,0)</f>
        <v>-3</v>
      </c>
      <c r="I38" s="3">
        <f>INT(VLOOKUP($C38,Size!$A$2:$Z$13,16,0)*$B38/3)</f>
        <v>1</v>
      </c>
      <c r="J38" s="3">
        <f>INT(($B38*VLOOKUP($E38,Type!$A$2:$U$15,12,0))+((VLOOKUP($E38,Type!$A$2:$U$15,13,0)-VLOOKUP($E38,Type!$A$2:$U$15,12,0))*VLOOKUP($C38,Size!$A$2:$Z$13,17,0)*$B38))</f>
        <v>5</v>
      </c>
      <c r="K38" s="3">
        <f>INT(($B38*VLOOKUP($E38,Type!$A$2:$U$15,8,0))+((VLOOKUP($E38,Type!$A$2:$U$15,9,0)-VLOOKUP($E38,Type!$A$2:$U$15,8,0))*VLOOKUP($D38,Role!$A$2:$O$9,10,0)*$B38))</f>
        <v>3</v>
      </c>
      <c r="L38" s="3">
        <f>INT(($B38*VLOOKUP($E38,Type!$A$2:$U$15,4,0))+((VLOOKUP($E38,Type!$A$2:$U$15,5,0)-VLOOKUP($E38,Type!$A$2:$U$15,4,0))*$B38))</f>
        <v>3</v>
      </c>
      <c r="M38" s="3">
        <f>INT($B38*VLOOKUP($D38,Role!$A$2:$O$9,10,0)*VLOOKUP($D38,Role!$A$2:$O$9,11,0))</f>
        <v>2</v>
      </c>
      <c r="N38" s="3">
        <f>INT(($B38*VLOOKUP($E38,Type!$A$2:$U$15,20,0))+((VLOOKUP($E38,Type!$A$2:$U$15,21,0)-VLOOKUP($E38,Type!$A$2:$U$15,20,0))*$B38))</f>
        <v>4</v>
      </c>
      <c r="P38" s="3">
        <f>INT(VLOOKUP($D38,Role!$A$2:$O$9,8,0)*$B38)</f>
        <v>5</v>
      </c>
      <c r="Q38" s="3">
        <f>INT(VLOOKUP($D38,Role!$A$2:$O$9,9,0)*$B38)</f>
        <v>4</v>
      </c>
      <c r="R38" s="3">
        <f>INT(VLOOKUP($C38,Size!$A$2:$Z$13,18,0)*VLOOKUP($D38,Role!$A$2:$O$9,13,0)*$B38/2)</f>
        <v>7</v>
      </c>
      <c r="S38" s="3">
        <f>INT((10+$M38)*VLOOKUP($D38,Role!$A$2:$O$9,14,0))</f>
        <v>12</v>
      </c>
      <c r="T38" s="3">
        <f>INT($I38*VLOOKUP($D38,Role!$A$2:$O$9,12,0))</f>
        <v>1</v>
      </c>
      <c r="V38" s="2">
        <f>ROUND(MAX($J38,$L38)+(MIN($J38,$L38)*VLOOKUP($D38,Role!$A$2:$O$9,14,0)),0)</f>
        <v>8</v>
      </c>
      <c r="W38" s="2">
        <f>MAX(1,INT(((MIN($I38:$J38)+(MAX($I38:$J38)*$G38*VLOOKUP($D38,Role!$A$2:$O$9,15,0))))*VLOOKUP($F38,Movement!$A$2:$C$7,3,0)))</f>
        <v>1</v>
      </c>
      <c r="Y38" s="2">
        <f t="shared" si="0"/>
        <v>3</v>
      </c>
      <c r="Z38" s="2">
        <f t="shared" si="1"/>
        <v>0</v>
      </c>
      <c r="AA38" s="2">
        <f t="shared" si="2"/>
        <v>6</v>
      </c>
      <c r="AB38" s="2">
        <f t="shared" si="3"/>
        <v>0</v>
      </c>
    </row>
    <row r="39" spans="2:28" ht="12.75">
      <c r="B39" s="2">
        <v>4</v>
      </c>
      <c r="C39" s="1" t="s">
        <v>38</v>
      </c>
      <c r="D39" s="1" t="s">
        <v>30</v>
      </c>
      <c r="E39" s="1" t="s">
        <v>47</v>
      </c>
      <c r="F39" s="1" t="s">
        <v>27</v>
      </c>
      <c r="G39" s="3">
        <f>VLOOKUP($C39,Size!$A$2:$F$13,6,0)</f>
        <v>-2</v>
      </c>
      <c r="I39" s="3">
        <f>INT(VLOOKUP($C39,Size!$A$2:$Z$13,16,0)*$B39/3)</f>
        <v>2</v>
      </c>
      <c r="J39" s="3">
        <f>INT(($B39*VLOOKUP($E39,Type!$A$2:$U$15,12,0))+((VLOOKUP($E39,Type!$A$2:$U$15,13,0)-VLOOKUP($E39,Type!$A$2:$U$15,12,0))*VLOOKUP($C39,Size!$A$2:$Z$13,17,0)*$B39))</f>
        <v>4</v>
      </c>
      <c r="K39" s="3">
        <f>INT(($B39*VLOOKUP($E39,Type!$A$2:$U$15,8,0))+((VLOOKUP($E39,Type!$A$2:$U$15,9,0)-VLOOKUP($E39,Type!$A$2:$U$15,8,0))*VLOOKUP($D39,Role!$A$2:$O$9,10,0)*$B39))</f>
        <v>3</v>
      </c>
      <c r="L39" s="3">
        <f>INT(($B39*VLOOKUP($E39,Type!$A$2:$U$15,4,0))+((VLOOKUP($E39,Type!$A$2:$U$15,5,0)-VLOOKUP($E39,Type!$A$2:$U$15,4,0))*$B39))</f>
        <v>3</v>
      </c>
      <c r="M39" s="3">
        <f>INT($B39*VLOOKUP($D39,Role!$A$2:$O$9,10,0)*VLOOKUP($D39,Role!$A$2:$O$9,11,0))</f>
        <v>2</v>
      </c>
      <c r="N39" s="3">
        <f>INT(($B39*VLOOKUP($E39,Type!$A$2:$U$15,20,0))+((VLOOKUP($E39,Type!$A$2:$U$15,21,0)-VLOOKUP($E39,Type!$A$2:$U$15,20,0))*$B39))</f>
        <v>4</v>
      </c>
      <c r="P39" s="3">
        <f>INT(VLOOKUP($D39,Role!$A$2:$O$9,8,0)*$B39)</f>
        <v>5</v>
      </c>
      <c r="Q39" s="3">
        <f>INT(VLOOKUP($D39,Role!$A$2:$O$9,9,0)*$B39)</f>
        <v>4</v>
      </c>
      <c r="R39" s="3">
        <f>INT(VLOOKUP($C39,Size!$A$2:$Z$13,18,0)*VLOOKUP($D39,Role!$A$2:$O$9,13,0)*$B39/2)</f>
        <v>17</v>
      </c>
      <c r="S39" s="3">
        <f>INT((10+$M39)*VLOOKUP($D39,Role!$A$2:$O$9,14,0))</f>
        <v>12</v>
      </c>
      <c r="T39" s="3">
        <f>INT($I39*VLOOKUP($D39,Role!$A$2:$O$9,12,0))</f>
        <v>2</v>
      </c>
      <c r="V39" s="2">
        <f>ROUND(MAX($J39,$L39)+(MIN($J39,$L39)*VLOOKUP($D39,Role!$A$2:$O$9,14,0)),0)</f>
        <v>7</v>
      </c>
      <c r="W39" s="2">
        <f>MAX(1,INT(((MIN($I39:$J39)+(MAX($I39:$J39)*$G39*VLOOKUP($D39,Role!$A$2:$O$9,15,0))))*VLOOKUP($F39,Movement!$A$2:$C$7,3,0)))</f>
        <v>1</v>
      </c>
      <c r="Y39" s="2">
        <f t="shared" si="0"/>
        <v>4</v>
      </c>
      <c r="Z39" s="2">
        <f t="shared" si="1"/>
        <v>0</v>
      </c>
      <c r="AA39" s="2">
        <f t="shared" si="2"/>
        <v>6</v>
      </c>
      <c r="AB39" s="2">
        <f t="shared" si="3"/>
        <v>0</v>
      </c>
    </row>
    <row r="40" spans="2:28" ht="12.75">
      <c r="B40" s="2">
        <v>4</v>
      </c>
      <c r="C40" s="1" t="s">
        <v>39</v>
      </c>
      <c r="D40" s="1" t="s">
        <v>30</v>
      </c>
      <c r="E40" s="1" t="s">
        <v>47</v>
      </c>
      <c r="F40" s="1" t="s">
        <v>27</v>
      </c>
      <c r="G40" s="3">
        <f>VLOOKUP($C40,Size!$A$2:$F$13,6,0)</f>
        <v>-1</v>
      </c>
      <c r="I40" s="3">
        <f>INT(VLOOKUP($C40,Size!$A$2:$Z$13,16,0)*$B40/3)</f>
        <v>2</v>
      </c>
      <c r="J40" s="3">
        <f>INT(($B40*VLOOKUP($E40,Type!$A$2:$U$15,12,0))+((VLOOKUP($E40,Type!$A$2:$U$15,13,0)-VLOOKUP($E40,Type!$A$2:$U$15,12,0))*VLOOKUP($C40,Size!$A$2:$Z$13,17,0)*$B40))</f>
        <v>4</v>
      </c>
      <c r="K40" s="3">
        <f>INT(($B40*VLOOKUP($E40,Type!$A$2:$U$15,8,0))+((VLOOKUP($E40,Type!$A$2:$U$15,9,0)-VLOOKUP($E40,Type!$A$2:$U$15,8,0))*VLOOKUP($D40,Role!$A$2:$O$9,10,0)*$B40))</f>
        <v>3</v>
      </c>
      <c r="L40" s="3">
        <f>INT(($B40*VLOOKUP($E40,Type!$A$2:$U$15,4,0))+((VLOOKUP($E40,Type!$A$2:$U$15,5,0)-VLOOKUP($E40,Type!$A$2:$U$15,4,0))*$B40))</f>
        <v>3</v>
      </c>
      <c r="M40" s="3">
        <f>INT($B40*VLOOKUP($D40,Role!$A$2:$O$9,10,0)*VLOOKUP($D40,Role!$A$2:$O$9,11,0))</f>
        <v>2</v>
      </c>
      <c r="N40" s="3">
        <f>INT(($B40*VLOOKUP($E40,Type!$A$2:$U$15,20,0))+((VLOOKUP($E40,Type!$A$2:$U$15,21,0)-VLOOKUP($E40,Type!$A$2:$U$15,20,0))*$B40))</f>
        <v>4</v>
      </c>
      <c r="P40" s="3">
        <f>INT(VLOOKUP($D40,Role!$A$2:$O$9,8,0)*$B40)</f>
        <v>5</v>
      </c>
      <c r="Q40" s="3">
        <f>INT(VLOOKUP($D40,Role!$A$2:$O$9,9,0)*$B40)</f>
        <v>4</v>
      </c>
      <c r="R40" s="3">
        <f>INT(VLOOKUP($C40,Size!$A$2:$Z$13,18,0)*VLOOKUP($D40,Role!$A$2:$O$9,13,0)*$B40/2)</f>
        <v>22</v>
      </c>
      <c r="S40" s="3">
        <f>INT((10+$M40)*VLOOKUP($D40,Role!$A$2:$O$9,14,0))</f>
        <v>12</v>
      </c>
      <c r="T40" s="3">
        <f>INT($I40*VLOOKUP($D40,Role!$A$2:$O$9,12,0))</f>
        <v>2</v>
      </c>
      <c r="V40" s="2">
        <f>ROUND(MAX($J40,$L40)+(MIN($J40,$L40)*VLOOKUP($D40,Role!$A$2:$O$9,14,0)),0)</f>
        <v>7</v>
      </c>
      <c r="W40" s="2">
        <f>MAX(1,INT(((MIN($I40:$J40)+(MAX($I40:$J40)*$G40*VLOOKUP($D40,Role!$A$2:$O$9,15,0))))*VLOOKUP($F40,Movement!$A$2:$C$7,3,0)))</f>
        <v>1</v>
      </c>
      <c r="Y40" s="2">
        <f t="shared" si="0"/>
        <v>4</v>
      </c>
      <c r="Z40" s="2">
        <f t="shared" si="1"/>
        <v>0</v>
      </c>
      <c r="AA40" s="2">
        <f t="shared" si="2"/>
        <v>6</v>
      </c>
      <c r="AB40" s="2">
        <f t="shared" si="3"/>
        <v>0</v>
      </c>
    </row>
    <row r="41" spans="2:28" ht="12.75">
      <c r="B41" s="2">
        <v>4</v>
      </c>
      <c r="C41" s="1" t="s">
        <v>40</v>
      </c>
      <c r="D41" s="1" t="s">
        <v>30</v>
      </c>
      <c r="E41" s="1" t="s">
        <v>47</v>
      </c>
      <c r="F41" s="1" t="s">
        <v>27</v>
      </c>
      <c r="G41" s="3">
        <f>VLOOKUP($C41,Size!$A$2:$F$13,6,0)</f>
        <v>0</v>
      </c>
      <c r="I41" s="3">
        <f>INT(VLOOKUP($C41,Size!$A$2:$Z$13,16,0)*$B41/3)</f>
        <v>2</v>
      </c>
      <c r="J41" s="3">
        <f>INT(($B41*VLOOKUP($E41,Type!$A$2:$U$15,12,0))+((VLOOKUP($E41,Type!$A$2:$U$15,13,0)-VLOOKUP($E41,Type!$A$2:$U$15,12,0))*VLOOKUP($C41,Size!$A$2:$Z$13,17,0)*$B41))</f>
        <v>4</v>
      </c>
      <c r="K41" s="3">
        <f>INT(($B41*VLOOKUP($E41,Type!$A$2:$U$15,8,0))+((VLOOKUP($E41,Type!$A$2:$U$15,9,0)-VLOOKUP($E41,Type!$A$2:$U$15,8,0))*VLOOKUP($D41,Role!$A$2:$O$9,10,0)*$B41))</f>
        <v>3</v>
      </c>
      <c r="L41" s="3">
        <f>INT(($B41*VLOOKUP($E41,Type!$A$2:$U$15,4,0))+((VLOOKUP($E41,Type!$A$2:$U$15,5,0)-VLOOKUP($E41,Type!$A$2:$U$15,4,0))*$B41))</f>
        <v>3</v>
      </c>
      <c r="M41" s="3">
        <f>INT($B41*VLOOKUP($D41,Role!$A$2:$O$9,10,0)*VLOOKUP($D41,Role!$A$2:$O$9,11,0))</f>
        <v>2</v>
      </c>
      <c r="N41" s="3">
        <f>INT(($B41*VLOOKUP($E41,Type!$A$2:$U$15,20,0))+((VLOOKUP($E41,Type!$A$2:$U$15,21,0)-VLOOKUP($E41,Type!$A$2:$U$15,20,0))*$B41))</f>
        <v>4</v>
      </c>
      <c r="P41" s="3">
        <f>INT(VLOOKUP($D41,Role!$A$2:$O$9,8,0)*$B41)</f>
        <v>5</v>
      </c>
      <c r="Q41" s="3">
        <f>INT(VLOOKUP($D41,Role!$A$2:$O$9,9,0)*$B41)</f>
        <v>4</v>
      </c>
      <c r="R41" s="3">
        <f>INT(VLOOKUP($C41,Size!$A$2:$Z$13,18,0)*VLOOKUP($D41,Role!$A$2:$O$9,13,0)*$B41/2)</f>
        <v>26</v>
      </c>
      <c r="S41" s="3">
        <f>INT((10+$M41)*VLOOKUP($D41,Role!$A$2:$O$9,14,0))</f>
        <v>12</v>
      </c>
      <c r="T41" s="3">
        <f>INT($I41*VLOOKUP($D41,Role!$A$2:$O$9,12,0))</f>
        <v>2</v>
      </c>
      <c r="V41" s="2">
        <f>ROUND(MAX($J41,$L41)+(MIN($J41,$L41)*VLOOKUP($D41,Role!$A$2:$O$9,14,0)),0)</f>
        <v>7</v>
      </c>
      <c r="W41" s="2">
        <f>MAX(1,INT(((MIN($I41:$J41)+(MAX($I41:$J41)*$G41*VLOOKUP($D41,Role!$A$2:$O$9,15,0))))*VLOOKUP($F41,Movement!$A$2:$C$7,3,0)))</f>
        <v>2</v>
      </c>
      <c r="Y41" s="2">
        <f t="shared" si="0"/>
        <v>4</v>
      </c>
      <c r="Z41" s="2">
        <f t="shared" si="1"/>
        <v>0</v>
      </c>
      <c r="AA41" s="2">
        <f t="shared" si="2"/>
        <v>5</v>
      </c>
      <c r="AB41" s="2">
        <f t="shared" si="3"/>
        <v>0</v>
      </c>
    </row>
    <row r="42" spans="2:28" ht="12.75">
      <c r="B42" s="2">
        <v>4</v>
      </c>
      <c r="C42" s="1" t="s">
        <v>24</v>
      </c>
      <c r="D42" s="1" t="s">
        <v>30</v>
      </c>
      <c r="E42" s="1" t="s">
        <v>47</v>
      </c>
      <c r="F42" s="1" t="s">
        <v>27</v>
      </c>
      <c r="G42" s="3">
        <f>VLOOKUP($C42,Size!$A$2:$F$13,6,0)</f>
        <v>1</v>
      </c>
      <c r="I42" s="3">
        <f>INT(VLOOKUP($C42,Size!$A$2:$Z$13,16,0)*$B42/3)</f>
        <v>4</v>
      </c>
      <c r="J42" s="3">
        <f>INT(($B42*VLOOKUP($E42,Type!$A$2:$U$15,12,0))+((VLOOKUP($E42,Type!$A$2:$U$15,13,0)-VLOOKUP($E42,Type!$A$2:$U$15,12,0))*VLOOKUP($C42,Size!$A$2:$Z$13,17,0)*$B42))</f>
        <v>4</v>
      </c>
      <c r="K42" s="3">
        <f>INT(($B42*VLOOKUP($E42,Type!$A$2:$U$15,8,0))+((VLOOKUP($E42,Type!$A$2:$U$15,9,0)-VLOOKUP($E42,Type!$A$2:$U$15,8,0))*VLOOKUP($D42,Role!$A$2:$O$9,10,0)*$B42))</f>
        <v>3</v>
      </c>
      <c r="L42" s="3">
        <f>INT(($B42*VLOOKUP($E42,Type!$A$2:$U$15,4,0))+((VLOOKUP($E42,Type!$A$2:$U$15,5,0)-VLOOKUP($E42,Type!$A$2:$U$15,4,0))*$B42))</f>
        <v>3</v>
      </c>
      <c r="M42" s="3">
        <f>INT($B42*VLOOKUP($D42,Role!$A$2:$O$9,10,0)*VLOOKUP($D42,Role!$A$2:$O$9,11,0))</f>
        <v>2</v>
      </c>
      <c r="N42" s="3">
        <f>INT(($B42*VLOOKUP($E42,Type!$A$2:$U$15,20,0))+((VLOOKUP($E42,Type!$A$2:$U$15,21,0)-VLOOKUP($E42,Type!$A$2:$U$15,20,0))*$B42))</f>
        <v>4</v>
      </c>
      <c r="P42" s="3">
        <f>INT(VLOOKUP($D42,Role!$A$2:$O$9,8,0)*$B42)</f>
        <v>5</v>
      </c>
      <c r="Q42" s="3">
        <f>INT(VLOOKUP($D42,Role!$A$2:$O$9,9,0)*$B42)</f>
        <v>4</v>
      </c>
      <c r="R42" s="3">
        <f>INT(VLOOKUP($C42,Size!$A$2:$Z$13,18,0)*VLOOKUP($D42,Role!$A$2:$O$9,13,0)*$B42/2)</f>
        <v>34</v>
      </c>
      <c r="S42" s="3">
        <f>INT((10+$M42)*VLOOKUP($D42,Role!$A$2:$O$9,14,0))</f>
        <v>12</v>
      </c>
      <c r="T42" s="3">
        <f>INT($I42*VLOOKUP($D42,Role!$A$2:$O$9,12,0))</f>
        <v>4</v>
      </c>
      <c r="V42" s="2">
        <f>ROUND(MAX($J42,$L42)+(MIN($J42,$L42)*VLOOKUP($D42,Role!$A$2:$O$9,14,0)),0)</f>
        <v>7</v>
      </c>
      <c r="W42" s="2">
        <f>MAX(1,INT(((MIN($I42:$J42)+(MAX($I42:$J42)*$G42*VLOOKUP($D42,Role!$A$2:$O$9,15,0))))*VLOOKUP($F42,Movement!$A$2:$C$7,3,0)))</f>
        <v>10</v>
      </c>
      <c r="Y42" s="2">
        <f t="shared" si="0"/>
        <v>5</v>
      </c>
      <c r="Z42" s="2">
        <f t="shared" si="1"/>
        <v>0</v>
      </c>
      <c r="AA42" s="2">
        <f t="shared" si="2"/>
        <v>5</v>
      </c>
      <c r="AB42" s="2">
        <f t="shared" si="3"/>
        <v>0</v>
      </c>
    </row>
    <row r="43" spans="2:28" ht="12.75">
      <c r="B43" s="2">
        <v>4</v>
      </c>
      <c r="C43" s="1" t="s">
        <v>41</v>
      </c>
      <c r="D43" s="1" t="s">
        <v>30</v>
      </c>
      <c r="E43" s="1" t="s">
        <v>47</v>
      </c>
      <c r="F43" s="1" t="s">
        <v>27</v>
      </c>
      <c r="G43" s="3">
        <f>VLOOKUP($C43,Size!$A$2:$F$13,6,0)</f>
        <v>2</v>
      </c>
      <c r="I43" s="3">
        <f>INT(VLOOKUP($C43,Size!$A$2:$Z$13,16,0)*$B43/3)</f>
        <v>4</v>
      </c>
      <c r="J43" s="3">
        <f>INT(($B43*VLOOKUP($E43,Type!$A$2:$U$15,12,0))+((VLOOKUP($E43,Type!$A$2:$U$15,13,0)-VLOOKUP($E43,Type!$A$2:$U$15,12,0))*VLOOKUP($C43,Size!$A$2:$Z$13,17,0)*$B43))</f>
        <v>4</v>
      </c>
      <c r="K43" s="3">
        <f>INT(($B43*VLOOKUP($E43,Type!$A$2:$U$15,8,0))+((VLOOKUP($E43,Type!$A$2:$U$15,9,0)-VLOOKUP($E43,Type!$A$2:$U$15,8,0))*VLOOKUP($D43,Role!$A$2:$O$9,10,0)*$B43))</f>
        <v>3</v>
      </c>
      <c r="L43" s="3">
        <f>INT(($B43*VLOOKUP($E43,Type!$A$2:$U$15,4,0))+((VLOOKUP($E43,Type!$A$2:$U$15,5,0)-VLOOKUP($E43,Type!$A$2:$U$15,4,0))*$B43))</f>
        <v>3</v>
      </c>
      <c r="M43" s="3">
        <f>INT($B43*VLOOKUP($D43,Role!$A$2:$O$9,10,0)*VLOOKUP($D43,Role!$A$2:$O$9,11,0))</f>
        <v>2</v>
      </c>
      <c r="N43" s="3">
        <f>INT(($B43*VLOOKUP($E43,Type!$A$2:$U$15,20,0))+((VLOOKUP($E43,Type!$A$2:$U$15,21,0)-VLOOKUP($E43,Type!$A$2:$U$15,20,0))*$B43))</f>
        <v>4</v>
      </c>
      <c r="P43" s="3">
        <f>INT(VLOOKUP($D43,Role!$A$2:$O$9,8,0)*$B43)</f>
        <v>5</v>
      </c>
      <c r="Q43" s="3">
        <f>INT(VLOOKUP($D43,Role!$A$2:$O$9,9,0)*$B43)</f>
        <v>4</v>
      </c>
      <c r="R43" s="3">
        <f>INT(VLOOKUP($C43,Size!$A$2:$Z$13,18,0)*VLOOKUP($D43,Role!$A$2:$O$9,13,0)*$B43/2)</f>
        <v>43</v>
      </c>
      <c r="S43" s="3">
        <f>INT((10+$M43)*VLOOKUP($D43,Role!$A$2:$O$9,14,0))</f>
        <v>12</v>
      </c>
      <c r="T43" s="3">
        <f>INT($I43*VLOOKUP($D43,Role!$A$2:$O$9,12,0))</f>
        <v>4</v>
      </c>
      <c r="V43" s="2">
        <f>ROUND(MAX($J43,$L43)+(MIN($J43,$L43)*VLOOKUP($D43,Role!$A$2:$O$9,14,0)),0)</f>
        <v>7</v>
      </c>
      <c r="W43" s="2">
        <f>MAX(1,INT(((MIN($I43:$J43)+(MAX($I43:$J43)*$G43*VLOOKUP($D43,Role!$A$2:$O$9,15,0))))*VLOOKUP($F43,Movement!$A$2:$C$7,3,0)))</f>
        <v>16</v>
      </c>
      <c r="Y43" s="2">
        <f t="shared" si="0"/>
        <v>5</v>
      </c>
      <c r="Z43" s="2">
        <f t="shared" si="1"/>
        <v>0</v>
      </c>
      <c r="AA43" s="2">
        <f t="shared" si="2"/>
        <v>5</v>
      </c>
      <c r="AB43" s="2">
        <f t="shared" si="3"/>
        <v>0</v>
      </c>
    </row>
    <row r="44" spans="2:28" ht="12.75">
      <c r="B44" s="2">
        <v>4</v>
      </c>
      <c r="C44" s="1" t="s">
        <v>42</v>
      </c>
      <c r="D44" s="1" t="s">
        <v>30</v>
      </c>
      <c r="E44" s="1" t="s">
        <v>47</v>
      </c>
      <c r="F44" s="1" t="s">
        <v>27</v>
      </c>
      <c r="G44" s="3">
        <f>VLOOKUP($C44,Size!$A$2:$F$13,6,0)</f>
        <v>3</v>
      </c>
      <c r="I44" s="3">
        <f>INT(VLOOKUP($C44,Size!$A$2:$Z$13,16,0)*$B44/3)</f>
        <v>5</v>
      </c>
      <c r="J44" s="3">
        <f>INT(($B44*VLOOKUP($E44,Type!$A$2:$U$15,12,0))+((VLOOKUP($E44,Type!$A$2:$U$15,13,0)-VLOOKUP($E44,Type!$A$2:$U$15,12,0))*VLOOKUP($C44,Size!$A$2:$Z$13,17,0)*$B44))</f>
        <v>3</v>
      </c>
      <c r="K44" s="3">
        <f>INT(($B44*VLOOKUP($E44,Type!$A$2:$U$15,8,0))+((VLOOKUP($E44,Type!$A$2:$U$15,9,0)-VLOOKUP($E44,Type!$A$2:$U$15,8,0))*VLOOKUP($D44,Role!$A$2:$O$9,10,0)*$B44))</f>
        <v>3</v>
      </c>
      <c r="L44" s="3">
        <f>INT(($B44*VLOOKUP($E44,Type!$A$2:$U$15,4,0))+((VLOOKUP($E44,Type!$A$2:$U$15,5,0)-VLOOKUP($E44,Type!$A$2:$U$15,4,0))*$B44))</f>
        <v>3</v>
      </c>
      <c r="M44" s="3">
        <f>INT($B44*VLOOKUP($D44,Role!$A$2:$O$9,10,0)*VLOOKUP($D44,Role!$A$2:$O$9,11,0))</f>
        <v>2</v>
      </c>
      <c r="N44" s="3">
        <f>INT(($B44*VLOOKUP($E44,Type!$A$2:$U$15,20,0))+((VLOOKUP($E44,Type!$A$2:$U$15,21,0)-VLOOKUP($E44,Type!$A$2:$U$15,20,0))*$B44))</f>
        <v>4</v>
      </c>
      <c r="P44" s="3">
        <f>INT(VLOOKUP($D44,Role!$A$2:$O$9,8,0)*$B44)</f>
        <v>5</v>
      </c>
      <c r="Q44" s="3">
        <f>INT(VLOOKUP($D44,Role!$A$2:$O$9,9,0)*$B44)</f>
        <v>4</v>
      </c>
      <c r="R44" s="3">
        <f>INT(VLOOKUP($C44,Size!$A$2:$Z$13,18,0)*VLOOKUP($D44,Role!$A$2:$O$9,13,0)*$B44/2)</f>
        <v>58</v>
      </c>
      <c r="S44" s="3">
        <f>INT((10+$M44)*VLOOKUP($D44,Role!$A$2:$O$9,14,0))</f>
        <v>12</v>
      </c>
      <c r="T44" s="3">
        <f>INT($I44*VLOOKUP($D44,Role!$A$2:$O$9,12,0))</f>
        <v>5</v>
      </c>
      <c r="V44" s="2">
        <f>ROUND(MAX($J44,$L44)+(MIN($J44,$L44)*VLOOKUP($D44,Role!$A$2:$O$9,14,0)),0)</f>
        <v>6</v>
      </c>
      <c r="W44" s="2">
        <f>MAX(1,INT(((MIN($I44:$J44)+(MAX($I44:$J44)*$G44*VLOOKUP($D44,Role!$A$2:$O$9,15,0))))*VLOOKUP($F44,Movement!$A$2:$C$7,3,0)))</f>
        <v>25</v>
      </c>
      <c r="Y44" s="2">
        <f t="shared" si="0"/>
        <v>5</v>
      </c>
      <c r="Z44" s="2">
        <f t="shared" si="1"/>
        <v>0</v>
      </c>
      <c r="AA44" s="2">
        <f t="shared" si="2"/>
        <v>4</v>
      </c>
      <c r="AB44" s="2">
        <f t="shared" si="3"/>
        <v>0</v>
      </c>
    </row>
    <row r="45" spans="2:28" ht="12.75">
      <c r="B45" s="2">
        <v>4</v>
      </c>
      <c r="C45" s="1" t="s">
        <v>43</v>
      </c>
      <c r="D45" s="1" t="s">
        <v>30</v>
      </c>
      <c r="E45" s="1" t="s">
        <v>47</v>
      </c>
      <c r="F45" s="1" t="s">
        <v>27</v>
      </c>
      <c r="G45" s="3">
        <f>VLOOKUP($C45,Size!$A$2:$F$13,6,0)</f>
        <v>4</v>
      </c>
      <c r="I45" s="3">
        <f>INT(VLOOKUP($C45,Size!$A$2:$Z$13,16,0)*$B45/3)</f>
        <v>5</v>
      </c>
      <c r="J45" s="3">
        <f>INT(($B45*VLOOKUP($E45,Type!$A$2:$U$15,12,0))+((VLOOKUP($E45,Type!$A$2:$U$15,13,0)-VLOOKUP($E45,Type!$A$2:$U$15,12,0))*VLOOKUP($C45,Size!$A$2:$Z$13,17,0)*$B45))</f>
        <v>3</v>
      </c>
      <c r="K45" s="3">
        <f>INT(($B45*VLOOKUP($E45,Type!$A$2:$U$15,8,0))+((VLOOKUP($E45,Type!$A$2:$U$15,9,0)-VLOOKUP($E45,Type!$A$2:$U$15,8,0))*VLOOKUP($D45,Role!$A$2:$O$9,10,0)*$B45))</f>
        <v>3</v>
      </c>
      <c r="L45" s="3">
        <f>INT(($B45*VLOOKUP($E45,Type!$A$2:$U$15,4,0))+((VLOOKUP($E45,Type!$A$2:$U$15,5,0)-VLOOKUP($E45,Type!$A$2:$U$15,4,0))*$B45))</f>
        <v>3</v>
      </c>
      <c r="M45" s="3">
        <f>INT($B45*VLOOKUP($D45,Role!$A$2:$O$9,10,0)*VLOOKUP($D45,Role!$A$2:$O$9,11,0))</f>
        <v>2</v>
      </c>
      <c r="N45" s="3">
        <f>INT(($B45*VLOOKUP($E45,Type!$A$2:$U$15,20,0))+((VLOOKUP($E45,Type!$A$2:$U$15,21,0)-VLOOKUP($E45,Type!$A$2:$U$15,20,0))*$B45))</f>
        <v>4</v>
      </c>
      <c r="P45" s="3">
        <f>INT(VLOOKUP($D45,Role!$A$2:$O$9,8,0)*$B45)</f>
        <v>5</v>
      </c>
      <c r="Q45" s="3">
        <f>INT(VLOOKUP($D45,Role!$A$2:$O$9,9,0)*$B45)</f>
        <v>4</v>
      </c>
      <c r="R45" s="3">
        <f>INT(VLOOKUP($C45,Size!$A$2:$Z$13,18,0)*VLOOKUP($D45,Role!$A$2:$O$9,13,0)*$B45/2)</f>
        <v>67</v>
      </c>
      <c r="S45" s="3">
        <f>INT((10+$M45)*VLOOKUP($D45,Role!$A$2:$O$9,14,0))</f>
        <v>12</v>
      </c>
      <c r="T45" s="3">
        <f>INT($I45*VLOOKUP($D45,Role!$A$2:$O$9,12,0))</f>
        <v>5</v>
      </c>
      <c r="V45" s="2">
        <f>ROUND(MAX($J45,$L45)+(MIN($J45,$L45)*VLOOKUP($D45,Role!$A$2:$O$9,14,0)),0)</f>
        <v>6</v>
      </c>
      <c r="W45" s="2">
        <f>MAX(1,INT(((MIN($I45:$J45)+(MAX($I45:$J45)*$G45*VLOOKUP($D45,Role!$A$2:$O$9,15,0))))*VLOOKUP($F45,Movement!$A$2:$C$7,3,0)))</f>
        <v>33</v>
      </c>
      <c r="Y45" s="2">
        <f t="shared" si="0"/>
        <v>6</v>
      </c>
      <c r="Z45" s="2">
        <f t="shared" si="1"/>
        <v>0</v>
      </c>
      <c r="AA45" s="2">
        <f t="shared" si="2"/>
        <v>4</v>
      </c>
      <c r="AB45" s="2">
        <f t="shared" si="3"/>
        <v>0</v>
      </c>
    </row>
    <row r="46" spans="2:28" ht="12.75">
      <c r="B46" s="2">
        <v>4</v>
      </c>
      <c r="C46" s="1" t="s">
        <v>44</v>
      </c>
      <c r="D46" s="1" t="s">
        <v>30</v>
      </c>
      <c r="E46" s="1" t="s">
        <v>47</v>
      </c>
      <c r="F46" s="1" t="s">
        <v>27</v>
      </c>
      <c r="G46" s="3">
        <f>VLOOKUP($C46,Size!$A$2:$F$13,6,0)</f>
        <v>5</v>
      </c>
      <c r="I46" s="3">
        <f>INT(VLOOKUP($C46,Size!$A$2:$Z$13,16,0)*$B46/3)</f>
        <v>6</v>
      </c>
      <c r="J46" s="3">
        <f>INT(($B46*VLOOKUP($E46,Type!$A$2:$U$15,12,0))+((VLOOKUP($E46,Type!$A$2:$U$15,13,0)-VLOOKUP($E46,Type!$A$2:$U$15,12,0))*VLOOKUP($C46,Size!$A$2:$Z$13,17,0)*$B46))</f>
        <v>3</v>
      </c>
      <c r="K46" s="3">
        <f>INT(($B46*VLOOKUP($E46,Type!$A$2:$U$15,8,0))+((VLOOKUP($E46,Type!$A$2:$U$15,9,0)-VLOOKUP($E46,Type!$A$2:$U$15,8,0))*VLOOKUP($D46,Role!$A$2:$O$9,10,0)*$B46))</f>
        <v>3</v>
      </c>
      <c r="L46" s="3">
        <f>INT(($B46*VLOOKUP($E46,Type!$A$2:$U$15,4,0))+((VLOOKUP($E46,Type!$A$2:$U$15,5,0)-VLOOKUP($E46,Type!$A$2:$U$15,4,0))*$B46))</f>
        <v>3</v>
      </c>
      <c r="M46" s="3">
        <f>INT($B46*VLOOKUP($D46,Role!$A$2:$O$9,10,0)*VLOOKUP($D46,Role!$A$2:$O$9,11,0))</f>
        <v>2</v>
      </c>
      <c r="N46" s="3">
        <f>INT(($B46*VLOOKUP($E46,Type!$A$2:$U$15,20,0))+((VLOOKUP($E46,Type!$A$2:$U$15,21,0)-VLOOKUP($E46,Type!$A$2:$U$15,20,0))*$B46))</f>
        <v>4</v>
      </c>
      <c r="P46" s="3">
        <f>INT(VLOOKUP($D46,Role!$A$2:$O$9,8,0)*$B46)</f>
        <v>5</v>
      </c>
      <c r="Q46" s="3">
        <f>INT(VLOOKUP($D46,Role!$A$2:$O$9,9,0)*$B46)</f>
        <v>4</v>
      </c>
      <c r="R46" s="3">
        <f>INT(VLOOKUP($C46,Size!$A$2:$Z$13,18,0)*VLOOKUP($D46,Role!$A$2:$O$9,13,0)*$B46/2)</f>
        <v>83</v>
      </c>
      <c r="S46" s="3">
        <f>INT((10+$M46)*VLOOKUP($D46,Role!$A$2:$O$9,14,0))</f>
        <v>12</v>
      </c>
      <c r="T46" s="3">
        <f>INT($I46*VLOOKUP($D46,Role!$A$2:$O$9,12,0))</f>
        <v>6</v>
      </c>
      <c r="V46" s="2">
        <f>ROUND(MAX($J46,$L46)+(MIN($J46,$L46)*VLOOKUP($D46,Role!$A$2:$O$9,14,0)),0)</f>
        <v>6</v>
      </c>
      <c r="W46" s="2">
        <f>MAX(1,INT(((MIN($I46:$J46)+(MAX($I46:$J46)*$G46*VLOOKUP($D46,Role!$A$2:$O$9,15,0))))*VLOOKUP($F46,Movement!$A$2:$C$7,3,0)))</f>
        <v>48</v>
      </c>
      <c r="Y46" s="2">
        <f t="shared" si="0"/>
        <v>6</v>
      </c>
      <c r="Z46" s="2">
        <f t="shared" si="1"/>
        <v>0</v>
      </c>
      <c r="AA46" s="2">
        <f t="shared" si="2"/>
        <v>4</v>
      </c>
      <c r="AB46" s="2">
        <f t="shared" si="3"/>
        <v>0</v>
      </c>
    </row>
    <row r="47" spans="2:28" ht="12.75">
      <c r="B47" s="2">
        <v>4</v>
      </c>
      <c r="C47" s="1" t="s">
        <v>45</v>
      </c>
      <c r="D47" s="1" t="s">
        <v>30</v>
      </c>
      <c r="E47" s="1" t="s">
        <v>47</v>
      </c>
      <c r="F47" s="1" t="s">
        <v>27</v>
      </c>
      <c r="G47" s="3">
        <f>VLOOKUP($C47,Size!$A$2:$F$13,6,0)</f>
        <v>6</v>
      </c>
      <c r="I47" s="3">
        <f>INT(VLOOKUP($C47,Size!$A$2:$Z$13,16,0)*$B47/3)</f>
        <v>6</v>
      </c>
      <c r="J47" s="3">
        <f>INT(($B47*VLOOKUP($E47,Type!$A$2:$U$15,12,0))+((VLOOKUP($E47,Type!$A$2:$U$15,13,0)-VLOOKUP($E47,Type!$A$2:$U$15,12,0))*VLOOKUP($C47,Size!$A$2:$Z$13,17,0)*$B47))</f>
        <v>3</v>
      </c>
      <c r="K47" s="3">
        <f>INT(($B47*VLOOKUP($E47,Type!$A$2:$U$15,8,0))+((VLOOKUP($E47,Type!$A$2:$U$15,9,0)-VLOOKUP($E47,Type!$A$2:$U$15,8,0))*VLOOKUP($D47,Role!$A$2:$O$9,10,0)*$B47))</f>
        <v>3</v>
      </c>
      <c r="L47" s="3">
        <f>INT(($B47*VLOOKUP($E47,Type!$A$2:$U$15,4,0))+((VLOOKUP($E47,Type!$A$2:$U$15,5,0)-VLOOKUP($E47,Type!$A$2:$U$15,4,0))*$B47))</f>
        <v>3</v>
      </c>
      <c r="M47" s="3">
        <f>INT($B47*VLOOKUP($D47,Role!$A$2:$O$9,10,0)*VLOOKUP($D47,Role!$A$2:$O$9,11,0))</f>
        <v>2</v>
      </c>
      <c r="N47" s="3">
        <f>INT(($B47*VLOOKUP($E47,Type!$A$2:$U$15,20,0))+((VLOOKUP($E47,Type!$A$2:$U$15,21,0)-VLOOKUP($E47,Type!$A$2:$U$15,20,0))*$B47))</f>
        <v>4</v>
      </c>
      <c r="P47" s="3">
        <f>INT(VLOOKUP($D47,Role!$A$2:$O$9,8,0)*$B47)</f>
        <v>5</v>
      </c>
      <c r="Q47" s="3">
        <f>INT(VLOOKUP($D47,Role!$A$2:$O$9,9,0)*$B47)</f>
        <v>4</v>
      </c>
      <c r="R47" s="3">
        <f>INT(VLOOKUP($C47,Size!$A$2:$Z$13,18,0)*VLOOKUP($D47,Role!$A$2:$O$9,13,0)*$B47/2)</f>
        <v>103</v>
      </c>
      <c r="S47" s="3">
        <f>INT((10+$M47)*VLOOKUP($D47,Role!$A$2:$O$9,14,0))</f>
        <v>12</v>
      </c>
      <c r="T47" s="3">
        <f>INT($I47*VLOOKUP($D47,Role!$A$2:$O$9,12,0))</f>
        <v>6</v>
      </c>
      <c r="V47" s="2">
        <f>ROUND(MAX($J47,$L47)+(MIN($J47,$L47)*VLOOKUP($D47,Role!$A$2:$O$9,14,0)),0)</f>
        <v>6</v>
      </c>
      <c r="W47" s="2">
        <f>MAX(1,INT(((MIN($I47:$J47)+(MAX($I47:$J47)*$G47*VLOOKUP($D47,Role!$A$2:$O$9,15,0))))*VLOOKUP($F47,Movement!$A$2:$C$7,3,0)))</f>
        <v>57</v>
      </c>
      <c r="Y47" s="2">
        <f t="shared" si="0"/>
        <v>6</v>
      </c>
      <c r="Z47" s="2">
        <f t="shared" si="1"/>
        <v>0</v>
      </c>
      <c r="AA47" s="2">
        <f t="shared" si="2"/>
        <v>3</v>
      </c>
      <c r="AB47" s="2">
        <f t="shared" si="3"/>
        <v>0</v>
      </c>
    </row>
    <row r="48" spans="2:28" ht="12.75">
      <c r="B48" s="2">
        <v>4</v>
      </c>
      <c r="C48" s="1" t="s">
        <v>46</v>
      </c>
      <c r="D48" s="1" t="s">
        <v>30</v>
      </c>
      <c r="E48" s="1" t="s">
        <v>47</v>
      </c>
      <c r="F48" s="1" t="s">
        <v>27</v>
      </c>
      <c r="G48" s="3">
        <f>VLOOKUP($C48,Size!$A$2:$F$13,6,0)</f>
        <v>7</v>
      </c>
      <c r="I48" s="3">
        <f>INT(VLOOKUP($C48,Size!$A$2:$Z$13,16,0)*$B48/3)</f>
        <v>6</v>
      </c>
      <c r="J48" s="3">
        <f>INT(($B48*VLOOKUP($E48,Type!$A$2:$U$15,12,0))+((VLOOKUP($E48,Type!$A$2:$U$15,13,0)-VLOOKUP($E48,Type!$A$2:$U$15,12,0))*VLOOKUP($C48,Size!$A$2:$Z$13,17,0)*$B48))</f>
        <v>3</v>
      </c>
      <c r="K48" s="3">
        <f>INT(($B48*VLOOKUP($E48,Type!$A$2:$U$15,8,0))+((VLOOKUP($E48,Type!$A$2:$U$15,9,0)-VLOOKUP($E48,Type!$A$2:$U$15,8,0))*VLOOKUP($D48,Role!$A$2:$O$9,10,0)*$B48))</f>
        <v>3</v>
      </c>
      <c r="L48" s="3">
        <f>INT(($B48*VLOOKUP($E48,Type!$A$2:$U$15,4,0))+((VLOOKUP($E48,Type!$A$2:$U$15,5,0)-VLOOKUP($E48,Type!$A$2:$U$15,4,0))*$B48))</f>
        <v>3</v>
      </c>
      <c r="M48" s="3">
        <f>INT($B48*VLOOKUP($D48,Role!$A$2:$O$9,10,0)*VLOOKUP($D48,Role!$A$2:$O$9,11,0))</f>
        <v>2</v>
      </c>
      <c r="N48" s="3">
        <f>INT(($B48*VLOOKUP($E48,Type!$A$2:$U$15,20,0))+((VLOOKUP($E48,Type!$A$2:$U$15,21,0)-VLOOKUP($E48,Type!$A$2:$U$15,20,0))*$B48))</f>
        <v>4</v>
      </c>
      <c r="P48" s="3">
        <f>INT(VLOOKUP($D48,Role!$A$2:$O$9,8,0)*$B48)</f>
        <v>5</v>
      </c>
      <c r="Q48" s="3">
        <f>INT(VLOOKUP($D48,Role!$A$2:$O$9,9,0)*$B48)</f>
        <v>4</v>
      </c>
      <c r="R48" s="3">
        <f>INT(VLOOKUP($C48,Size!$A$2:$Z$13,18,0)*VLOOKUP($D48,Role!$A$2:$O$9,13,0)*$B48/2)</f>
        <v>123</v>
      </c>
      <c r="S48" s="3">
        <f>INT((10+$M48)*VLOOKUP($D48,Role!$A$2:$O$9,14,0))</f>
        <v>12</v>
      </c>
      <c r="T48" s="3">
        <f>INT($I48*VLOOKUP($D48,Role!$A$2:$O$9,12,0))</f>
        <v>6</v>
      </c>
      <c r="V48" s="2">
        <f>ROUND(MAX($J48,$L48)+(MIN($J48,$L48)*VLOOKUP($D48,Role!$A$2:$O$9,14,0)),0)</f>
        <v>6</v>
      </c>
      <c r="W48" s="2">
        <f>MAX(1,INT(((MIN($I48:$J48)+(MAX($I48:$J48)*$G48*VLOOKUP($D48,Role!$A$2:$O$9,15,0))))*VLOOKUP($F48,Movement!$A$2:$C$7,3,0)))</f>
        <v>66</v>
      </c>
      <c r="Y48" s="2">
        <f t="shared" si="0"/>
        <v>7</v>
      </c>
      <c r="Z48" s="2">
        <f t="shared" si="1"/>
        <v>0</v>
      </c>
      <c r="AA48" s="2">
        <f t="shared" si="2"/>
        <v>3</v>
      </c>
      <c r="AB48" s="2">
        <f t="shared" si="3"/>
        <v>0</v>
      </c>
    </row>
    <row r="49" spans="2:28" ht="12.75">
      <c r="B49" s="2">
        <v>4</v>
      </c>
      <c r="C49" s="1" t="s">
        <v>48</v>
      </c>
      <c r="D49" s="1" t="s">
        <v>30</v>
      </c>
      <c r="E49" s="1" t="s">
        <v>47</v>
      </c>
      <c r="F49" s="1" t="s">
        <v>27</v>
      </c>
      <c r="G49" s="3">
        <f>VLOOKUP($C49,Size!$A$2:$F$13,6,0)</f>
        <v>8</v>
      </c>
      <c r="I49" s="3">
        <f>INT(VLOOKUP($C49,Size!$A$2:$Z$13,16,0)*$B49/3)</f>
        <v>8</v>
      </c>
      <c r="J49" s="3">
        <f>INT(($B49*VLOOKUP($E49,Type!$A$2:$U$15,12,0))+((VLOOKUP($E49,Type!$A$2:$U$15,13,0)-VLOOKUP($E49,Type!$A$2:$U$15,12,0))*VLOOKUP($C49,Size!$A$2:$Z$13,17,0)*$B49))</f>
        <v>2</v>
      </c>
      <c r="K49" s="3">
        <f>INT(($B49*VLOOKUP($E49,Type!$A$2:$U$15,8,0))+((VLOOKUP($E49,Type!$A$2:$U$15,9,0)-VLOOKUP($E49,Type!$A$2:$U$15,8,0))*VLOOKUP($D49,Role!$A$2:$O$9,10,0)*$B49))</f>
        <v>3</v>
      </c>
      <c r="L49" s="3">
        <f>INT(($B49*VLOOKUP($E49,Type!$A$2:$U$15,4,0))+((VLOOKUP($E49,Type!$A$2:$U$15,5,0)-VLOOKUP($E49,Type!$A$2:$U$15,4,0))*$B49))</f>
        <v>3</v>
      </c>
      <c r="M49" s="3">
        <f>INT($B49*VLOOKUP($D49,Role!$A$2:$O$9,10,0)*VLOOKUP($D49,Role!$A$2:$O$9,11,0))</f>
        <v>2</v>
      </c>
      <c r="N49" s="3">
        <f>INT(($B49*VLOOKUP($E49,Type!$A$2:$U$15,20,0))+((VLOOKUP($E49,Type!$A$2:$U$15,21,0)-VLOOKUP($E49,Type!$A$2:$U$15,20,0))*$B49))</f>
        <v>4</v>
      </c>
      <c r="P49" s="3">
        <f>INT(VLOOKUP($D49,Role!$A$2:$O$9,8,0)*$B49)</f>
        <v>5</v>
      </c>
      <c r="Q49" s="3">
        <f>INT(VLOOKUP($D49,Role!$A$2:$O$9,9,0)*$B49)</f>
        <v>4</v>
      </c>
      <c r="R49" s="3">
        <f>INT(VLOOKUP($C49,Size!$A$2:$Z$13,18,0)*VLOOKUP($D49,Role!$A$2:$O$9,13,0)*$B49/2)</f>
        <v>148</v>
      </c>
      <c r="S49" s="3">
        <f>INT((10+$M49)*VLOOKUP($D49,Role!$A$2:$O$9,14,0))</f>
        <v>12</v>
      </c>
      <c r="T49" s="3">
        <f>INT($I49*VLOOKUP($D49,Role!$A$2:$O$9,12,0))</f>
        <v>8</v>
      </c>
      <c r="V49" s="2">
        <f>ROUND(MAX($J49,$L49)+(MIN($J49,$L49)*VLOOKUP($D49,Role!$A$2:$O$9,14,0)),0)</f>
        <v>5</v>
      </c>
      <c r="W49" s="2">
        <f>MAX(1,INT(((MIN($I49:$J49)+(MAX($I49:$J49)*$G49*VLOOKUP($D49,Role!$A$2:$O$9,15,0))))*VLOOKUP($F49,Movement!$A$2:$C$7,3,0)))</f>
        <v>98</v>
      </c>
      <c r="Y49" s="2">
        <f t="shared" si="0"/>
        <v>7</v>
      </c>
      <c r="Z49" s="2">
        <f t="shared" si="1"/>
        <v>1</v>
      </c>
      <c r="AA49" s="2">
        <f t="shared" si="2"/>
        <v>3</v>
      </c>
      <c r="AB49" s="2">
        <f t="shared" si="3"/>
        <v>0</v>
      </c>
    </row>
    <row r="51" spans="2:28" ht="12.75">
      <c r="B51" s="2">
        <v>1</v>
      </c>
      <c r="C51" s="1" t="s">
        <v>37</v>
      </c>
      <c r="D51" s="1" t="s">
        <v>34</v>
      </c>
      <c r="E51" s="1" t="s">
        <v>36</v>
      </c>
      <c r="F51" s="1" t="s">
        <v>49</v>
      </c>
      <c r="G51" s="3">
        <f>VLOOKUP($C51,Size!$A$2:$F$13,6,0)</f>
        <v>-3</v>
      </c>
      <c r="I51" s="3">
        <f>INT(VLOOKUP($C51,Size!$A$2:$Z$13,16,0)*$B51/3)</f>
        <v>0</v>
      </c>
      <c r="J51" s="3">
        <f>INT(($B51*VLOOKUP($E51,Type!$A$2:$U$15,12,0))+((VLOOKUP($E51,Type!$A$2:$U$15,13,0)-VLOOKUP($E51,Type!$A$2:$U$15,12,0))*VLOOKUP($C51,Size!$A$2:$Z$13,17,0)*$B51))</f>
        <v>1</v>
      </c>
      <c r="K51" s="3">
        <f>INT(($B51*VLOOKUP($E51,Type!$A$2:$U$15,8,0))+((VLOOKUP($E51,Type!$A$2:$U$15,9,0)-VLOOKUP($E51,Type!$A$2:$U$15,8,0))*VLOOKUP($D51,Role!$A$2:$O$9,10,0)*$B51))</f>
        <v>0</v>
      </c>
      <c r="L51" s="3">
        <f>INT(($B51*VLOOKUP($E51,Type!$A$2:$U$15,4,0))+((VLOOKUP($E51,Type!$A$2:$U$15,5,0)-VLOOKUP($E51,Type!$A$2:$U$15,4,0))*$B51))</f>
        <v>0</v>
      </c>
      <c r="M51" s="3">
        <f>INT($B51*VLOOKUP($D51,Role!$A$2:$O$9,10,0)*VLOOKUP($D51,Role!$A$2:$O$9,11,0))</f>
        <v>1</v>
      </c>
      <c r="N51" s="3">
        <f>INT(($B51*VLOOKUP($E51,Type!$A$2:$U$15,20,0))+((VLOOKUP($E51,Type!$A$2:$U$15,21,0)-VLOOKUP($E51,Type!$A$2:$U$15,20,0))*$B51))</f>
        <v>0</v>
      </c>
      <c r="P51" s="3">
        <f>INT(VLOOKUP($D51,Role!$A$2:$O$9,8,0)*$B51)</f>
        <v>1</v>
      </c>
      <c r="Q51" s="3">
        <f>INT(VLOOKUP($D51,Role!$A$2:$O$9,9,0)*$B51)</f>
        <v>1</v>
      </c>
      <c r="R51" s="3">
        <f>INT(VLOOKUP($C51,Size!$A$2:$Z$13,18,0)*VLOOKUP($D51,Role!$A$2:$O$9,13,0)*$B51/2)</f>
        <v>1</v>
      </c>
      <c r="S51" s="3">
        <f>INT((10+$M51)*VLOOKUP($D51,Role!$A$2:$O$9,14,0))</f>
        <v>11</v>
      </c>
      <c r="T51" s="3">
        <f>INT($I51*VLOOKUP($D51,Role!$A$2:$O$9,12,0))</f>
        <v>0</v>
      </c>
      <c r="V51" s="2">
        <f>ROUND(MAX($J51,$L51)+(MIN($J51,$L51)*VLOOKUP($D51,Role!$A$2:$O$9,14,0)),0)</f>
        <v>1</v>
      </c>
      <c r="W51" s="2">
        <f>MAX(1,INT(((MIN($I51:$J51)+(MAX($I51:$J51)*$G51*VLOOKUP($D51,Role!$A$2:$O$9,15,0))))*VLOOKUP($F51,Movement!$A$2:$C$7,3,0)))</f>
        <v>1</v>
      </c>
      <c r="Y51" s="2">
        <f aca="true" t="shared" si="4" ref="Y51:Y61">INT(5+(($G51-1)/3))</f>
        <v>3</v>
      </c>
      <c r="Z51" s="2">
        <f aca="true" t="shared" si="5" ref="Z51:Z61">IF($Y51&lt;$I51,$I51-$Y51,0)</f>
        <v>0</v>
      </c>
      <c r="AA51" s="2">
        <f aca="true" t="shared" si="6" ref="AA51:AA61">(5-ROUND(($G51-1)/3,0))</f>
        <v>6</v>
      </c>
      <c r="AB51" s="2">
        <f aca="true" t="shared" si="7" ref="AB51:AB61">IF($AA51&lt;$J51,$J51-$AA51,0)</f>
        <v>0</v>
      </c>
    </row>
    <row r="52" spans="2:28" ht="12.75">
      <c r="B52" s="2">
        <v>1</v>
      </c>
      <c r="C52" s="1" t="s">
        <v>38</v>
      </c>
      <c r="D52" s="1" t="s">
        <v>34</v>
      </c>
      <c r="E52" s="1" t="s">
        <v>36</v>
      </c>
      <c r="F52" s="1" t="s">
        <v>49</v>
      </c>
      <c r="G52" s="3">
        <f>VLOOKUP($C52,Size!$A$2:$F$13,6,0)</f>
        <v>-2</v>
      </c>
      <c r="I52" s="3">
        <f>INT(VLOOKUP($C52,Size!$A$2:$Z$13,16,0)*$B52/3)</f>
        <v>0</v>
      </c>
      <c r="J52" s="3">
        <f>INT(($B52*VLOOKUP($E52,Type!$A$2:$U$15,12,0))+((VLOOKUP($E52,Type!$A$2:$U$15,13,0)-VLOOKUP($E52,Type!$A$2:$U$15,12,0))*VLOOKUP($C52,Size!$A$2:$Z$13,17,0)*$B52))</f>
        <v>1</v>
      </c>
      <c r="K52" s="3">
        <f>INT(($B52*VLOOKUP($E52,Type!$A$2:$U$15,8,0))+((VLOOKUP($E52,Type!$A$2:$U$15,9,0)-VLOOKUP($E52,Type!$A$2:$U$15,8,0))*VLOOKUP($D52,Role!$A$2:$O$9,10,0)*$B52))</f>
        <v>0</v>
      </c>
      <c r="L52" s="3">
        <f>INT(($B52*VLOOKUP($E52,Type!$A$2:$U$15,4,0))+((VLOOKUP($E52,Type!$A$2:$U$15,5,0)-VLOOKUP($E52,Type!$A$2:$U$15,4,0))*$B52))</f>
        <v>0</v>
      </c>
      <c r="M52" s="3">
        <f>INT($B52*VLOOKUP($D52,Role!$A$2:$O$9,10,0)*VLOOKUP($D52,Role!$A$2:$O$9,11,0))</f>
        <v>1</v>
      </c>
      <c r="N52" s="3">
        <f>INT(($B52*VLOOKUP($E52,Type!$A$2:$U$15,20,0))+((VLOOKUP($E52,Type!$A$2:$U$15,21,0)-VLOOKUP($E52,Type!$A$2:$U$15,20,0))*$B52))</f>
        <v>0</v>
      </c>
      <c r="P52" s="3">
        <f>INT(VLOOKUP($D52,Role!$A$2:$O$9,8,0)*$B52)</f>
        <v>1</v>
      </c>
      <c r="Q52" s="3">
        <f>INT(VLOOKUP($D52,Role!$A$2:$O$9,9,0)*$B52)</f>
        <v>1</v>
      </c>
      <c r="R52" s="3">
        <f>INT(VLOOKUP($C52,Size!$A$2:$Z$13,18,0)*VLOOKUP($D52,Role!$A$2:$O$9,13,0)*$B52/2)</f>
        <v>3</v>
      </c>
      <c r="S52" s="3">
        <f>INT((10+$M52)*VLOOKUP($D52,Role!$A$2:$O$9,14,0))</f>
        <v>11</v>
      </c>
      <c r="T52" s="3">
        <f>INT($I52*VLOOKUP($D52,Role!$A$2:$O$9,12,0))</f>
        <v>0</v>
      </c>
      <c r="V52" s="2">
        <f>ROUND(MAX($J52,$L52)+(MIN($J52,$L52)*VLOOKUP($D52,Role!$A$2:$O$9,14,0)),0)</f>
        <v>1</v>
      </c>
      <c r="W52" s="2">
        <f>MAX(1,INT(((MIN($I52:$J52)+(MAX($I52:$J52)*$G52*VLOOKUP($D52,Role!$A$2:$O$9,15,0))))*VLOOKUP($F52,Movement!$A$2:$C$7,3,0)))</f>
        <v>1</v>
      </c>
      <c r="Y52" s="2">
        <f t="shared" si="4"/>
        <v>4</v>
      </c>
      <c r="Z52" s="2">
        <f t="shared" si="5"/>
        <v>0</v>
      </c>
      <c r="AA52" s="2">
        <f t="shared" si="6"/>
        <v>6</v>
      </c>
      <c r="AB52" s="2">
        <f t="shared" si="7"/>
        <v>0</v>
      </c>
    </row>
    <row r="53" spans="2:28" ht="12.75">
      <c r="B53" s="2">
        <v>1</v>
      </c>
      <c r="C53" s="1" t="s">
        <v>39</v>
      </c>
      <c r="D53" s="1" t="s">
        <v>34</v>
      </c>
      <c r="E53" s="1" t="s">
        <v>36</v>
      </c>
      <c r="F53" s="1" t="s">
        <v>49</v>
      </c>
      <c r="G53" s="3">
        <f>VLOOKUP($C53,Size!$A$2:$F$13,6,0)</f>
        <v>-1</v>
      </c>
      <c r="I53" s="3">
        <f>INT(VLOOKUP($C53,Size!$A$2:$Z$13,16,0)*$B53/3)</f>
        <v>0</v>
      </c>
      <c r="J53" s="3">
        <f>INT(($B53*VLOOKUP($E53,Type!$A$2:$U$15,12,0))+((VLOOKUP($E53,Type!$A$2:$U$15,13,0)-VLOOKUP($E53,Type!$A$2:$U$15,12,0))*VLOOKUP($C53,Size!$A$2:$Z$13,17,0)*$B53))</f>
        <v>1</v>
      </c>
      <c r="K53" s="3">
        <f>INT(($B53*VLOOKUP($E53,Type!$A$2:$U$15,8,0))+((VLOOKUP($E53,Type!$A$2:$U$15,9,0)-VLOOKUP($E53,Type!$A$2:$U$15,8,0))*VLOOKUP($D53,Role!$A$2:$O$9,10,0)*$B53))</f>
        <v>0</v>
      </c>
      <c r="L53" s="3">
        <f>INT(($B53*VLOOKUP($E53,Type!$A$2:$U$15,4,0))+((VLOOKUP($E53,Type!$A$2:$U$15,5,0)-VLOOKUP($E53,Type!$A$2:$U$15,4,0))*$B53))</f>
        <v>0</v>
      </c>
      <c r="M53" s="3">
        <f>INT($B53*VLOOKUP($D53,Role!$A$2:$O$9,10,0)*VLOOKUP($D53,Role!$A$2:$O$9,11,0))</f>
        <v>1</v>
      </c>
      <c r="N53" s="3">
        <f>INT(($B53*VLOOKUP($E53,Type!$A$2:$U$15,20,0))+((VLOOKUP($E53,Type!$A$2:$U$15,21,0)-VLOOKUP($E53,Type!$A$2:$U$15,20,0))*$B53))</f>
        <v>0</v>
      </c>
      <c r="P53" s="3">
        <f>INT(VLOOKUP($D53,Role!$A$2:$O$9,8,0)*$B53)</f>
        <v>1</v>
      </c>
      <c r="Q53" s="3">
        <f>INT(VLOOKUP($D53,Role!$A$2:$O$9,9,0)*$B53)</f>
        <v>1</v>
      </c>
      <c r="R53" s="3">
        <f>INT(VLOOKUP($C53,Size!$A$2:$Z$13,18,0)*VLOOKUP($D53,Role!$A$2:$O$9,13,0)*$B53/2)</f>
        <v>4</v>
      </c>
      <c r="S53" s="3">
        <f>INT((10+$M53)*VLOOKUP($D53,Role!$A$2:$O$9,14,0))</f>
        <v>11</v>
      </c>
      <c r="T53" s="3">
        <f>INT($I53*VLOOKUP($D53,Role!$A$2:$O$9,12,0))</f>
        <v>0</v>
      </c>
      <c r="V53" s="2">
        <f>ROUND(MAX($J53,$L53)+(MIN($J53,$L53)*VLOOKUP($D53,Role!$A$2:$O$9,14,0)),0)</f>
        <v>1</v>
      </c>
      <c r="W53" s="2">
        <f>MAX(1,INT(((MIN($I53:$J53)+(MAX($I53:$J53)*$G53*VLOOKUP($D53,Role!$A$2:$O$9,15,0))))*VLOOKUP($F53,Movement!$A$2:$C$7,3,0)))</f>
        <v>1</v>
      </c>
      <c r="Y53" s="2">
        <f t="shared" si="4"/>
        <v>4</v>
      </c>
      <c r="Z53" s="2">
        <f t="shared" si="5"/>
        <v>0</v>
      </c>
      <c r="AA53" s="2">
        <f t="shared" si="6"/>
        <v>6</v>
      </c>
      <c r="AB53" s="2">
        <f t="shared" si="7"/>
        <v>0</v>
      </c>
    </row>
    <row r="54" spans="2:28" ht="12.75">
      <c r="B54" s="2">
        <v>1</v>
      </c>
      <c r="C54" s="1" t="s">
        <v>40</v>
      </c>
      <c r="D54" s="1" t="s">
        <v>34</v>
      </c>
      <c r="E54" s="1" t="s">
        <v>36</v>
      </c>
      <c r="F54" s="1" t="s">
        <v>49</v>
      </c>
      <c r="G54" s="3">
        <f>VLOOKUP($C54,Size!$A$2:$F$13,6,0)</f>
        <v>0</v>
      </c>
      <c r="I54" s="3">
        <f>INT(VLOOKUP($C54,Size!$A$2:$Z$13,16,0)*$B54/3)</f>
        <v>0</v>
      </c>
      <c r="J54" s="3">
        <f>INT(($B54*VLOOKUP($E54,Type!$A$2:$U$15,12,0))+((VLOOKUP($E54,Type!$A$2:$U$15,13,0)-VLOOKUP($E54,Type!$A$2:$U$15,12,0))*VLOOKUP($C54,Size!$A$2:$Z$13,17,0)*$B54))</f>
        <v>1</v>
      </c>
      <c r="K54" s="3">
        <f>INT(($B54*VLOOKUP($E54,Type!$A$2:$U$15,8,0))+((VLOOKUP($E54,Type!$A$2:$U$15,9,0)-VLOOKUP($E54,Type!$A$2:$U$15,8,0))*VLOOKUP($D54,Role!$A$2:$O$9,10,0)*$B54))</f>
        <v>0</v>
      </c>
      <c r="L54" s="3">
        <f>INT(($B54*VLOOKUP($E54,Type!$A$2:$U$15,4,0))+((VLOOKUP($E54,Type!$A$2:$U$15,5,0)-VLOOKUP($E54,Type!$A$2:$U$15,4,0))*$B54))</f>
        <v>0</v>
      </c>
      <c r="M54" s="3">
        <f>INT($B54*VLOOKUP($D54,Role!$A$2:$O$9,10,0)*VLOOKUP($D54,Role!$A$2:$O$9,11,0))</f>
        <v>1</v>
      </c>
      <c r="N54" s="3">
        <f>INT(($B54*VLOOKUP($E54,Type!$A$2:$U$15,20,0))+((VLOOKUP($E54,Type!$A$2:$U$15,21,0)-VLOOKUP($E54,Type!$A$2:$U$15,20,0))*$B54))</f>
        <v>0</v>
      </c>
      <c r="P54" s="3">
        <f>INT(VLOOKUP($D54,Role!$A$2:$O$9,8,0)*$B54)</f>
        <v>1</v>
      </c>
      <c r="Q54" s="3">
        <f>INT(VLOOKUP($D54,Role!$A$2:$O$9,9,0)*$B54)</f>
        <v>1</v>
      </c>
      <c r="R54" s="3">
        <f>INT(VLOOKUP($C54,Size!$A$2:$Z$13,18,0)*VLOOKUP($D54,Role!$A$2:$O$9,13,0)*$B54/2)</f>
        <v>5</v>
      </c>
      <c r="S54" s="3">
        <f>INT((10+$M54)*VLOOKUP($D54,Role!$A$2:$O$9,14,0))</f>
        <v>11</v>
      </c>
      <c r="T54" s="3">
        <f>INT($I54*VLOOKUP($D54,Role!$A$2:$O$9,12,0))</f>
        <v>0</v>
      </c>
      <c r="V54" s="2">
        <f>ROUND(MAX($J54,$L54)+(MIN($J54,$L54)*VLOOKUP($D54,Role!$A$2:$O$9,14,0)),0)</f>
        <v>1</v>
      </c>
      <c r="W54" s="2">
        <f>MAX(1,INT(((MIN($I54:$J54)+(MAX($I54:$J54)*$G54*VLOOKUP($D54,Role!$A$2:$O$9,15,0))))*VLOOKUP($F54,Movement!$A$2:$C$7,3,0)))</f>
        <v>1</v>
      </c>
      <c r="Y54" s="2">
        <f t="shared" si="4"/>
        <v>4</v>
      </c>
      <c r="Z54" s="2">
        <f t="shared" si="5"/>
        <v>0</v>
      </c>
      <c r="AA54" s="2">
        <f t="shared" si="6"/>
        <v>5</v>
      </c>
      <c r="AB54" s="2">
        <f t="shared" si="7"/>
        <v>0</v>
      </c>
    </row>
    <row r="55" spans="2:28" ht="12.75">
      <c r="B55" s="2">
        <v>1</v>
      </c>
      <c r="C55" s="1" t="s">
        <v>24</v>
      </c>
      <c r="D55" s="1" t="s">
        <v>34</v>
      </c>
      <c r="E55" s="1" t="s">
        <v>36</v>
      </c>
      <c r="F55" s="1" t="s">
        <v>49</v>
      </c>
      <c r="G55" s="3">
        <f>VLOOKUP($C55,Size!$A$2:$F$13,6,0)</f>
        <v>1</v>
      </c>
      <c r="I55" s="3">
        <f>INT(VLOOKUP($C55,Size!$A$2:$Z$13,16,0)*$B55/3)</f>
        <v>1</v>
      </c>
      <c r="J55" s="3">
        <f>INT(($B55*VLOOKUP($E55,Type!$A$2:$U$15,12,0))+((VLOOKUP($E55,Type!$A$2:$U$15,13,0)-VLOOKUP($E55,Type!$A$2:$U$15,12,0))*VLOOKUP($C55,Size!$A$2:$Z$13,17,0)*$B55))</f>
        <v>1</v>
      </c>
      <c r="K55" s="3">
        <f>INT(($B55*VLOOKUP($E55,Type!$A$2:$U$15,8,0))+((VLOOKUP($E55,Type!$A$2:$U$15,9,0)-VLOOKUP($E55,Type!$A$2:$U$15,8,0))*VLOOKUP($D55,Role!$A$2:$O$9,10,0)*$B55))</f>
        <v>0</v>
      </c>
      <c r="L55" s="3">
        <f>INT(($B55*VLOOKUP($E55,Type!$A$2:$U$15,4,0))+((VLOOKUP($E55,Type!$A$2:$U$15,5,0)-VLOOKUP($E55,Type!$A$2:$U$15,4,0))*$B55))</f>
        <v>0</v>
      </c>
      <c r="M55" s="3">
        <f>INT($B55*VLOOKUP($D55,Role!$A$2:$O$9,10,0)*VLOOKUP($D55,Role!$A$2:$O$9,11,0))</f>
        <v>1</v>
      </c>
      <c r="N55" s="3">
        <f>INT(($B55*VLOOKUP($E55,Type!$A$2:$U$15,20,0))+((VLOOKUP($E55,Type!$A$2:$U$15,21,0)-VLOOKUP($E55,Type!$A$2:$U$15,20,0))*$B55))</f>
        <v>0</v>
      </c>
      <c r="P55" s="3">
        <f>INT(VLOOKUP($D55,Role!$A$2:$O$9,8,0)*$B55)</f>
        <v>1</v>
      </c>
      <c r="Q55" s="3">
        <f>INT(VLOOKUP($D55,Role!$A$2:$O$9,9,0)*$B55)</f>
        <v>1</v>
      </c>
      <c r="R55" s="3">
        <f>INT(VLOOKUP($C55,Size!$A$2:$Z$13,18,0)*VLOOKUP($D55,Role!$A$2:$O$9,13,0)*$B55/2)</f>
        <v>6</v>
      </c>
      <c r="S55" s="3">
        <f>INT((10+$M55)*VLOOKUP($D55,Role!$A$2:$O$9,14,0))</f>
        <v>11</v>
      </c>
      <c r="T55" s="3">
        <f>INT($I55*VLOOKUP($D55,Role!$A$2:$O$9,12,0))</f>
        <v>1</v>
      </c>
      <c r="V55" s="2">
        <f>ROUND(MAX($J55,$L55)+(MIN($J55,$L55)*VLOOKUP($D55,Role!$A$2:$O$9,14,0)),0)</f>
        <v>1</v>
      </c>
      <c r="W55" s="2">
        <f>MAX(1,INT(((MIN($I55:$J55)+(MAX($I55:$J55)*$G55*VLOOKUP($D55,Role!$A$2:$O$9,15,0))))*VLOOKUP($F55,Movement!$A$2:$C$7,3,0)))</f>
        <v>3</v>
      </c>
      <c r="Y55" s="2">
        <f t="shared" si="4"/>
        <v>5</v>
      </c>
      <c r="Z55" s="2">
        <f t="shared" si="5"/>
        <v>0</v>
      </c>
      <c r="AA55" s="2">
        <f t="shared" si="6"/>
        <v>5</v>
      </c>
      <c r="AB55" s="2">
        <f t="shared" si="7"/>
        <v>0</v>
      </c>
    </row>
    <row r="56" spans="2:28" ht="12.75">
      <c r="B56" s="2">
        <v>1</v>
      </c>
      <c r="C56" s="1" t="s">
        <v>41</v>
      </c>
      <c r="D56" s="1" t="s">
        <v>34</v>
      </c>
      <c r="E56" s="1" t="s">
        <v>36</v>
      </c>
      <c r="F56" s="1" t="s">
        <v>49</v>
      </c>
      <c r="G56" s="3">
        <f>VLOOKUP($C56,Size!$A$2:$F$13,6,0)</f>
        <v>2</v>
      </c>
      <c r="I56" s="3">
        <f>INT(VLOOKUP($C56,Size!$A$2:$Z$13,16,0)*$B56/3)</f>
        <v>1</v>
      </c>
      <c r="J56" s="3">
        <f>INT(($B56*VLOOKUP($E56,Type!$A$2:$U$15,12,0))+((VLOOKUP($E56,Type!$A$2:$U$15,13,0)-VLOOKUP($E56,Type!$A$2:$U$15,12,0))*VLOOKUP($C56,Size!$A$2:$Z$13,17,0)*$B56))</f>
        <v>1</v>
      </c>
      <c r="K56" s="3">
        <f>INT(($B56*VLOOKUP($E56,Type!$A$2:$U$15,8,0))+((VLOOKUP($E56,Type!$A$2:$U$15,9,0)-VLOOKUP($E56,Type!$A$2:$U$15,8,0))*VLOOKUP($D56,Role!$A$2:$O$9,10,0)*$B56))</f>
        <v>0</v>
      </c>
      <c r="L56" s="3">
        <f>INT(($B56*VLOOKUP($E56,Type!$A$2:$U$15,4,0))+((VLOOKUP($E56,Type!$A$2:$U$15,5,0)-VLOOKUP($E56,Type!$A$2:$U$15,4,0))*$B56))</f>
        <v>0</v>
      </c>
      <c r="M56" s="3">
        <f>INT($B56*VLOOKUP($D56,Role!$A$2:$O$9,10,0)*VLOOKUP($D56,Role!$A$2:$O$9,11,0))</f>
        <v>1</v>
      </c>
      <c r="N56" s="3">
        <f>INT(($B56*VLOOKUP($E56,Type!$A$2:$U$15,20,0))+((VLOOKUP($E56,Type!$A$2:$U$15,21,0)-VLOOKUP($E56,Type!$A$2:$U$15,20,0))*$B56))</f>
        <v>0</v>
      </c>
      <c r="P56" s="3">
        <f>INT(VLOOKUP($D56,Role!$A$2:$O$9,8,0)*$B56)</f>
        <v>1</v>
      </c>
      <c r="Q56" s="3">
        <f>INT(VLOOKUP($D56,Role!$A$2:$O$9,9,0)*$B56)</f>
        <v>1</v>
      </c>
      <c r="R56" s="3">
        <f>INT(VLOOKUP($C56,Size!$A$2:$Z$13,18,0)*VLOOKUP($D56,Role!$A$2:$O$9,13,0)*$B56/2)</f>
        <v>8</v>
      </c>
      <c r="S56" s="3">
        <f>INT((10+$M56)*VLOOKUP($D56,Role!$A$2:$O$9,14,0))</f>
        <v>11</v>
      </c>
      <c r="T56" s="3">
        <f>INT($I56*VLOOKUP($D56,Role!$A$2:$O$9,12,0))</f>
        <v>1</v>
      </c>
      <c r="V56" s="2">
        <f>ROUND(MAX($J56,$L56)+(MIN($J56,$L56)*VLOOKUP($D56,Role!$A$2:$O$9,14,0)),0)</f>
        <v>1</v>
      </c>
      <c r="W56" s="2">
        <f>MAX(1,INT(((MIN($I56:$J56)+(MAX($I56:$J56)*$G56*VLOOKUP($D56,Role!$A$2:$O$9,15,0))))*VLOOKUP($F56,Movement!$A$2:$C$7,3,0)))</f>
        <v>4</v>
      </c>
      <c r="Y56" s="2">
        <f t="shared" si="4"/>
        <v>5</v>
      </c>
      <c r="Z56" s="2">
        <f t="shared" si="5"/>
        <v>0</v>
      </c>
      <c r="AA56" s="2">
        <f t="shared" si="6"/>
        <v>5</v>
      </c>
      <c r="AB56" s="2">
        <f t="shared" si="7"/>
        <v>0</v>
      </c>
    </row>
    <row r="57" spans="2:28" ht="12.75">
      <c r="B57" s="2">
        <v>1</v>
      </c>
      <c r="C57" s="1" t="s">
        <v>42</v>
      </c>
      <c r="D57" s="1" t="s">
        <v>34</v>
      </c>
      <c r="E57" s="1" t="s">
        <v>36</v>
      </c>
      <c r="F57" s="1" t="s">
        <v>49</v>
      </c>
      <c r="G57" s="3">
        <f>VLOOKUP($C57,Size!$A$2:$F$13,6,0)</f>
        <v>3</v>
      </c>
      <c r="I57" s="3">
        <f>INT(VLOOKUP($C57,Size!$A$2:$Z$13,16,0)*$B57/3)</f>
        <v>1</v>
      </c>
      <c r="J57" s="3">
        <f>INT(($B57*VLOOKUP($E57,Type!$A$2:$U$15,12,0))+((VLOOKUP($E57,Type!$A$2:$U$15,13,0)-VLOOKUP($E57,Type!$A$2:$U$15,12,0))*VLOOKUP($C57,Size!$A$2:$Z$13,17,0)*$B57))</f>
        <v>0</v>
      </c>
      <c r="K57" s="3">
        <f>INT(($B57*VLOOKUP($E57,Type!$A$2:$U$15,8,0))+((VLOOKUP($E57,Type!$A$2:$U$15,9,0)-VLOOKUP($E57,Type!$A$2:$U$15,8,0))*VLOOKUP($D57,Role!$A$2:$O$9,10,0)*$B57))</f>
        <v>0</v>
      </c>
      <c r="L57" s="3">
        <f>INT(($B57*VLOOKUP($E57,Type!$A$2:$U$15,4,0))+((VLOOKUP($E57,Type!$A$2:$U$15,5,0)-VLOOKUP($E57,Type!$A$2:$U$15,4,0))*$B57))</f>
        <v>0</v>
      </c>
      <c r="M57" s="3">
        <f>INT($B57*VLOOKUP($D57,Role!$A$2:$O$9,10,0)*VLOOKUP($D57,Role!$A$2:$O$9,11,0))</f>
        <v>1</v>
      </c>
      <c r="N57" s="3">
        <f>INT(($B57*VLOOKUP($E57,Type!$A$2:$U$15,20,0))+((VLOOKUP($E57,Type!$A$2:$U$15,21,0)-VLOOKUP($E57,Type!$A$2:$U$15,20,0))*$B57))</f>
        <v>0</v>
      </c>
      <c r="P57" s="3">
        <f>INT(VLOOKUP($D57,Role!$A$2:$O$9,8,0)*$B57)</f>
        <v>1</v>
      </c>
      <c r="Q57" s="3">
        <f>INT(VLOOKUP($D57,Role!$A$2:$O$9,9,0)*$B57)</f>
        <v>1</v>
      </c>
      <c r="R57" s="3">
        <f>INT(VLOOKUP($C57,Size!$A$2:$Z$13,18,0)*VLOOKUP($D57,Role!$A$2:$O$9,13,0)*$B57/2)</f>
        <v>10</v>
      </c>
      <c r="S57" s="3">
        <f>INT((10+$M57)*VLOOKUP($D57,Role!$A$2:$O$9,14,0))</f>
        <v>11</v>
      </c>
      <c r="T57" s="3">
        <f>INT($I57*VLOOKUP($D57,Role!$A$2:$O$9,12,0))</f>
        <v>1</v>
      </c>
      <c r="V57" s="2">
        <f>ROUND(MAX($J57,$L57)+(MIN($J57,$L57)*VLOOKUP($D57,Role!$A$2:$O$9,14,0)),0)</f>
        <v>0</v>
      </c>
      <c r="W57" s="2">
        <f>MAX(1,INT(((MIN($I57:$J57)+(MAX($I57:$J57)*$G57*VLOOKUP($D57,Role!$A$2:$O$9,15,0))))*VLOOKUP($F57,Movement!$A$2:$C$7,3,0)))</f>
        <v>4</v>
      </c>
      <c r="Y57" s="2">
        <f t="shared" si="4"/>
        <v>5</v>
      </c>
      <c r="Z57" s="2">
        <f t="shared" si="5"/>
        <v>0</v>
      </c>
      <c r="AA57" s="2">
        <f t="shared" si="6"/>
        <v>4</v>
      </c>
      <c r="AB57" s="2">
        <f t="shared" si="7"/>
        <v>0</v>
      </c>
    </row>
    <row r="58" spans="2:28" ht="12.75">
      <c r="B58" s="2">
        <v>1</v>
      </c>
      <c r="C58" s="1" t="s">
        <v>43</v>
      </c>
      <c r="D58" s="1" t="s">
        <v>34</v>
      </c>
      <c r="E58" s="1" t="s">
        <v>36</v>
      </c>
      <c r="F58" s="1" t="s">
        <v>49</v>
      </c>
      <c r="G58" s="3">
        <f>VLOOKUP($C58,Size!$A$2:$F$13,6,0)</f>
        <v>4</v>
      </c>
      <c r="I58" s="3">
        <f>INT(VLOOKUP($C58,Size!$A$2:$Z$13,16,0)*$B58/3)</f>
        <v>1</v>
      </c>
      <c r="J58" s="3">
        <f>INT(($B58*VLOOKUP($E58,Type!$A$2:$U$15,12,0))+((VLOOKUP($E58,Type!$A$2:$U$15,13,0)-VLOOKUP($E58,Type!$A$2:$U$15,12,0))*VLOOKUP($C58,Size!$A$2:$Z$13,17,0)*$B58))</f>
        <v>0</v>
      </c>
      <c r="K58" s="3">
        <f>INT(($B58*VLOOKUP($E58,Type!$A$2:$U$15,8,0))+((VLOOKUP($E58,Type!$A$2:$U$15,9,0)-VLOOKUP($E58,Type!$A$2:$U$15,8,0))*VLOOKUP($D58,Role!$A$2:$O$9,10,0)*$B58))</f>
        <v>0</v>
      </c>
      <c r="L58" s="3">
        <f>INT(($B58*VLOOKUP($E58,Type!$A$2:$U$15,4,0))+((VLOOKUP($E58,Type!$A$2:$U$15,5,0)-VLOOKUP($E58,Type!$A$2:$U$15,4,0))*$B58))</f>
        <v>0</v>
      </c>
      <c r="M58" s="3">
        <f>INT($B58*VLOOKUP($D58,Role!$A$2:$O$9,10,0)*VLOOKUP($D58,Role!$A$2:$O$9,11,0))</f>
        <v>1</v>
      </c>
      <c r="N58" s="3">
        <f>INT(($B58*VLOOKUP($E58,Type!$A$2:$U$15,20,0))+((VLOOKUP($E58,Type!$A$2:$U$15,21,0)-VLOOKUP($E58,Type!$A$2:$U$15,20,0))*$B58))</f>
        <v>0</v>
      </c>
      <c r="P58" s="3">
        <f>INT(VLOOKUP($D58,Role!$A$2:$O$9,8,0)*$B58)</f>
        <v>1</v>
      </c>
      <c r="Q58" s="3">
        <f>INT(VLOOKUP($D58,Role!$A$2:$O$9,9,0)*$B58)</f>
        <v>1</v>
      </c>
      <c r="R58" s="3">
        <f>INT(VLOOKUP($C58,Size!$A$2:$Z$13,18,0)*VLOOKUP($D58,Role!$A$2:$O$9,13,0)*$B58/2)</f>
        <v>12</v>
      </c>
      <c r="S58" s="3">
        <f>INT((10+$M58)*VLOOKUP($D58,Role!$A$2:$O$9,14,0))</f>
        <v>11</v>
      </c>
      <c r="T58" s="3">
        <f>INT($I58*VLOOKUP($D58,Role!$A$2:$O$9,12,0))</f>
        <v>1</v>
      </c>
      <c r="V58" s="2">
        <f>ROUND(MAX($J58,$L58)+(MIN($J58,$L58)*VLOOKUP($D58,Role!$A$2:$O$9,14,0)),0)</f>
        <v>0</v>
      </c>
      <c r="W58" s="2">
        <f>MAX(1,INT(((MIN($I58:$J58)+(MAX($I58:$J58)*$G58*VLOOKUP($D58,Role!$A$2:$O$9,15,0))))*VLOOKUP($F58,Movement!$A$2:$C$7,3,0)))</f>
        <v>6</v>
      </c>
      <c r="Y58" s="2">
        <f t="shared" si="4"/>
        <v>6</v>
      </c>
      <c r="Z58" s="2">
        <f t="shared" si="5"/>
        <v>0</v>
      </c>
      <c r="AA58" s="2">
        <f t="shared" si="6"/>
        <v>4</v>
      </c>
      <c r="AB58" s="2">
        <f t="shared" si="7"/>
        <v>0</v>
      </c>
    </row>
    <row r="59" spans="2:28" ht="12.75">
      <c r="B59" s="2">
        <v>1</v>
      </c>
      <c r="C59" s="1" t="s">
        <v>44</v>
      </c>
      <c r="D59" s="1" t="s">
        <v>34</v>
      </c>
      <c r="E59" s="1" t="s">
        <v>36</v>
      </c>
      <c r="F59" s="1" t="s">
        <v>49</v>
      </c>
      <c r="G59" s="3">
        <f>VLOOKUP($C59,Size!$A$2:$F$13,6,0)</f>
        <v>5</v>
      </c>
      <c r="I59" s="3">
        <f>INT(VLOOKUP($C59,Size!$A$2:$Z$13,16,0)*$B59/3)</f>
        <v>1</v>
      </c>
      <c r="J59" s="3">
        <f>INT(($B59*VLOOKUP($E59,Type!$A$2:$U$15,12,0))+((VLOOKUP($E59,Type!$A$2:$U$15,13,0)-VLOOKUP($E59,Type!$A$2:$U$15,12,0))*VLOOKUP($C59,Size!$A$2:$Z$13,17,0)*$B59))</f>
        <v>0</v>
      </c>
      <c r="K59" s="3">
        <f>INT(($B59*VLOOKUP($E59,Type!$A$2:$U$15,8,0))+((VLOOKUP($E59,Type!$A$2:$U$15,9,0)-VLOOKUP($E59,Type!$A$2:$U$15,8,0))*VLOOKUP($D59,Role!$A$2:$O$9,10,0)*$B59))</f>
        <v>0</v>
      </c>
      <c r="L59" s="3">
        <f>INT(($B59*VLOOKUP($E59,Type!$A$2:$U$15,4,0))+((VLOOKUP($E59,Type!$A$2:$U$15,5,0)-VLOOKUP($E59,Type!$A$2:$U$15,4,0))*$B59))</f>
        <v>0</v>
      </c>
      <c r="M59" s="3">
        <f>INT($B59*VLOOKUP($D59,Role!$A$2:$O$9,10,0)*VLOOKUP($D59,Role!$A$2:$O$9,11,0))</f>
        <v>1</v>
      </c>
      <c r="N59" s="3">
        <f>INT(($B59*VLOOKUP($E59,Type!$A$2:$U$15,20,0))+((VLOOKUP($E59,Type!$A$2:$U$15,21,0)-VLOOKUP($E59,Type!$A$2:$U$15,20,0))*$B59))</f>
        <v>0</v>
      </c>
      <c r="P59" s="3">
        <f>INT(VLOOKUP($D59,Role!$A$2:$O$9,8,0)*$B59)</f>
        <v>1</v>
      </c>
      <c r="Q59" s="3">
        <f>INT(VLOOKUP($D59,Role!$A$2:$O$9,9,0)*$B59)</f>
        <v>1</v>
      </c>
      <c r="R59" s="3">
        <f>INT(VLOOKUP($C59,Size!$A$2:$Z$13,18,0)*VLOOKUP($D59,Role!$A$2:$O$9,13,0)*$B59/2)</f>
        <v>15</v>
      </c>
      <c r="S59" s="3">
        <f>INT((10+$M59)*VLOOKUP($D59,Role!$A$2:$O$9,14,0))</f>
        <v>11</v>
      </c>
      <c r="T59" s="3">
        <f>INT($I59*VLOOKUP($D59,Role!$A$2:$O$9,12,0))</f>
        <v>1</v>
      </c>
      <c r="V59" s="2">
        <f>ROUND(MAX($J59,$L59)+(MIN($J59,$L59)*VLOOKUP($D59,Role!$A$2:$O$9,14,0)),0)</f>
        <v>0</v>
      </c>
      <c r="W59" s="2">
        <f>MAX(1,INT(((MIN($I59:$J59)+(MAX($I59:$J59)*$G59*VLOOKUP($D59,Role!$A$2:$O$9,15,0))))*VLOOKUP($F59,Movement!$A$2:$C$7,3,0)))</f>
        <v>7</v>
      </c>
      <c r="Y59" s="2">
        <f t="shared" si="4"/>
        <v>6</v>
      </c>
      <c r="Z59" s="2">
        <f t="shared" si="5"/>
        <v>0</v>
      </c>
      <c r="AA59" s="2">
        <f t="shared" si="6"/>
        <v>4</v>
      </c>
      <c r="AB59" s="2">
        <f t="shared" si="7"/>
        <v>0</v>
      </c>
    </row>
    <row r="60" spans="2:28" ht="12.75">
      <c r="B60" s="2">
        <v>1</v>
      </c>
      <c r="C60" s="1" t="s">
        <v>45</v>
      </c>
      <c r="D60" s="1" t="s">
        <v>34</v>
      </c>
      <c r="E60" s="1" t="s">
        <v>36</v>
      </c>
      <c r="F60" s="1" t="s">
        <v>49</v>
      </c>
      <c r="G60" s="3">
        <f>VLOOKUP($C60,Size!$A$2:$F$13,6,0)</f>
        <v>6</v>
      </c>
      <c r="I60" s="3">
        <f>INT(VLOOKUP($C60,Size!$A$2:$Z$13,16,0)*$B60/3)</f>
        <v>1</v>
      </c>
      <c r="J60" s="3">
        <f>INT(($B60*VLOOKUP($E60,Type!$A$2:$U$15,12,0))+((VLOOKUP($E60,Type!$A$2:$U$15,13,0)-VLOOKUP($E60,Type!$A$2:$U$15,12,0))*VLOOKUP($C60,Size!$A$2:$Z$13,17,0)*$B60))</f>
        <v>0</v>
      </c>
      <c r="K60" s="3">
        <f>INT(($B60*VLOOKUP($E60,Type!$A$2:$U$15,8,0))+((VLOOKUP($E60,Type!$A$2:$U$15,9,0)-VLOOKUP($E60,Type!$A$2:$U$15,8,0))*VLOOKUP($D60,Role!$A$2:$O$9,10,0)*$B60))</f>
        <v>0</v>
      </c>
      <c r="L60" s="3">
        <f>INT(($B60*VLOOKUP($E60,Type!$A$2:$U$15,4,0))+((VLOOKUP($E60,Type!$A$2:$U$15,5,0)-VLOOKUP($E60,Type!$A$2:$U$15,4,0))*$B60))</f>
        <v>0</v>
      </c>
      <c r="M60" s="3">
        <f>INT($B60*VLOOKUP($D60,Role!$A$2:$O$9,10,0)*VLOOKUP($D60,Role!$A$2:$O$9,11,0))</f>
        <v>1</v>
      </c>
      <c r="N60" s="3">
        <f>INT(($B60*VLOOKUP($E60,Type!$A$2:$U$15,20,0))+((VLOOKUP($E60,Type!$A$2:$U$15,21,0)-VLOOKUP($E60,Type!$A$2:$U$15,20,0))*$B60))</f>
        <v>0</v>
      </c>
      <c r="P60" s="3">
        <f>INT(VLOOKUP($D60,Role!$A$2:$O$9,8,0)*$B60)</f>
        <v>1</v>
      </c>
      <c r="Q60" s="3">
        <f>INT(VLOOKUP($D60,Role!$A$2:$O$9,9,0)*$B60)</f>
        <v>1</v>
      </c>
      <c r="R60" s="3">
        <f>INT(VLOOKUP($C60,Size!$A$2:$Z$13,18,0)*VLOOKUP($D60,Role!$A$2:$O$9,13,0)*$B60/2)</f>
        <v>19</v>
      </c>
      <c r="S60" s="3">
        <f>INT((10+$M60)*VLOOKUP($D60,Role!$A$2:$O$9,14,0))</f>
        <v>11</v>
      </c>
      <c r="T60" s="3">
        <f>INT($I60*VLOOKUP($D60,Role!$A$2:$O$9,12,0))</f>
        <v>1</v>
      </c>
      <c r="V60" s="2">
        <f>ROUND(MAX($J60,$L60)+(MIN($J60,$L60)*VLOOKUP($D60,Role!$A$2:$O$9,14,0)),0)</f>
        <v>0</v>
      </c>
      <c r="W60" s="2">
        <f>MAX(1,INT(((MIN($I60:$J60)+(MAX($I60:$J60)*$G60*VLOOKUP($D60,Role!$A$2:$O$9,15,0))))*VLOOKUP($F60,Movement!$A$2:$C$7,3,0)))</f>
        <v>9</v>
      </c>
      <c r="Y60" s="2">
        <f t="shared" si="4"/>
        <v>6</v>
      </c>
      <c r="Z60" s="2">
        <f t="shared" si="5"/>
        <v>0</v>
      </c>
      <c r="AA60" s="2">
        <f t="shared" si="6"/>
        <v>3</v>
      </c>
      <c r="AB60" s="2">
        <f t="shared" si="7"/>
        <v>0</v>
      </c>
    </row>
    <row r="61" spans="2:28" ht="12.75">
      <c r="B61" s="2">
        <v>1</v>
      </c>
      <c r="C61" s="1" t="s">
        <v>46</v>
      </c>
      <c r="D61" s="1" t="s">
        <v>34</v>
      </c>
      <c r="E61" s="1" t="s">
        <v>36</v>
      </c>
      <c r="F61" s="1" t="s">
        <v>49</v>
      </c>
      <c r="G61" s="3">
        <f>VLOOKUP($C61,Size!$A$2:$F$13,6,0)</f>
        <v>7</v>
      </c>
      <c r="I61" s="3">
        <f>INT(VLOOKUP($C61,Size!$A$2:$Z$13,16,0)*$B61/3)</f>
        <v>1</v>
      </c>
      <c r="J61" s="3">
        <f>INT(($B61*VLOOKUP($E61,Type!$A$2:$U$15,12,0))+((VLOOKUP($E61,Type!$A$2:$U$15,13,0)-VLOOKUP($E61,Type!$A$2:$U$15,12,0))*VLOOKUP($C61,Size!$A$2:$Z$13,17,0)*$B61))</f>
        <v>0</v>
      </c>
      <c r="K61" s="3">
        <f>INT(($B61*VLOOKUP($E61,Type!$A$2:$U$15,8,0))+((VLOOKUP($E61,Type!$A$2:$U$15,9,0)-VLOOKUP($E61,Type!$A$2:$U$15,8,0))*VLOOKUP($D61,Role!$A$2:$O$9,10,0)*$B61))</f>
        <v>0</v>
      </c>
      <c r="L61" s="3">
        <f>INT(($B61*VLOOKUP($E61,Type!$A$2:$U$15,4,0))+((VLOOKUP($E61,Type!$A$2:$U$15,5,0)-VLOOKUP($E61,Type!$A$2:$U$15,4,0))*$B61))</f>
        <v>0</v>
      </c>
      <c r="M61" s="3">
        <f>INT($B61*VLOOKUP($D61,Role!$A$2:$O$9,10,0)*VLOOKUP($D61,Role!$A$2:$O$9,11,0))</f>
        <v>1</v>
      </c>
      <c r="N61" s="3">
        <f>INT(($B61*VLOOKUP($E61,Type!$A$2:$U$15,20,0))+((VLOOKUP($E61,Type!$A$2:$U$15,21,0)-VLOOKUP($E61,Type!$A$2:$U$15,20,0))*$B61))</f>
        <v>0</v>
      </c>
      <c r="P61" s="3">
        <f>INT(VLOOKUP($D61,Role!$A$2:$O$9,8,0)*$B61)</f>
        <v>1</v>
      </c>
      <c r="Q61" s="3">
        <f>INT(VLOOKUP($D61,Role!$A$2:$O$9,9,0)*$B61)</f>
        <v>1</v>
      </c>
      <c r="R61" s="3">
        <f>INT(VLOOKUP($C61,Size!$A$2:$Z$13,18,0)*VLOOKUP($D61,Role!$A$2:$O$9,13,0)*$B61/2)</f>
        <v>23</v>
      </c>
      <c r="S61" s="3">
        <f>INT((10+$M61)*VLOOKUP($D61,Role!$A$2:$O$9,14,0))</f>
        <v>11</v>
      </c>
      <c r="T61" s="3">
        <f>INT($I61*VLOOKUP($D61,Role!$A$2:$O$9,12,0))</f>
        <v>1</v>
      </c>
      <c r="V61" s="2">
        <f>ROUND(MAX($J61,$L61)+(MIN($J61,$L61)*VLOOKUP($D61,Role!$A$2:$O$9,14,0)),0)</f>
        <v>0</v>
      </c>
      <c r="W61" s="2">
        <f>MAX(1,INT(((MIN($I61:$J61)+(MAX($I61:$J61)*$G61*VLOOKUP($D61,Role!$A$2:$O$9,15,0))))*VLOOKUP($F61,Movement!$A$2:$C$7,3,0)))</f>
        <v>10</v>
      </c>
      <c r="Y61" s="2">
        <f t="shared" si="4"/>
        <v>7</v>
      </c>
      <c r="Z61" s="2">
        <f t="shared" si="5"/>
        <v>0</v>
      </c>
      <c r="AA61" s="2">
        <f t="shared" si="6"/>
        <v>3</v>
      </c>
      <c r="AB61" s="2">
        <f t="shared" si="7"/>
        <v>0</v>
      </c>
    </row>
    <row r="63" spans="2:28" ht="12.75">
      <c r="B63" s="2">
        <v>2</v>
      </c>
      <c r="C63" s="1" t="s">
        <v>37</v>
      </c>
      <c r="D63" s="1" t="s">
        <v>34</v>
      </c>
      <c r="E63" s="1" t="s">
        <v>36</v>
      </c>
      <c r="F63" s="1" t="s">
        <v>49</v>
      </c>
      <c r="G63" s="3">
        <f>VLOOKUP($C63,Size!$A$2:$F$13,6,0)</f>
        <v>-3</v>
      </c>
      <c r="I63" s="3">
        <f>INT(VLOOKUP($C63,Size!$A$2:$Z$13,16,0)*$B63/3)</f>
        <v>0</v>
      </c>
      <c r="J63" s="3">
        <f>INT(($B63*VLOOKUP($E63,Type!$A$2:$U$15,12,0))+((VLOOKUP($E63,Type!$A$2:$U$15,13,0)-VLOOKUP($E63,Type!$A$2:$U$15,12,0))*VLOOKUP($C63,Size!$A$2:$Z$13,17,0)*$B63))</f>
        <v>3</v>
      </c>
      <c r="K63" s="3">
        <f>INT(($B63*VLOOKUP($E63,Type!$A$2:$U$15,8,0))+((VLOOKUP($E63,Type!$A$2:$U$15,9,0)-VLOOKUP($E63,Type!$A$2:$U$15,8,0))*VLOOKUP($D63,Role!$A$2:$O$9,10,0)*$B63))</f>
        <v>1</v>
      </c>
      <c r="L63" s="3">
        <f>INT(($B63*VLOOKUP($E63,Type!$A$2:$U$15,4,0))+((VLOOKUP($E63,Type!$A$2:$U$15,5,0)-VLOOKUP($E63,Type!$A$2:$U$15,4,0))*$B63))</f>
        <v>1</v>
      </c>
      <c r="M63" s="3">
        <f>INT($B63*VLOOKUP($D63,Role!$A$2:$O$9,10,0)*VLOOKUP($D63,Role!$A$2:$O$9,11,0))</f>
        <v>2</v>
      </c>
      <c r="N63" s="3">
        <f>INT(($B63*VLOOKUP($E63,Type!$A$2:$U$15,20,0))+((VLOOKUP($E63,Type!$A$2:$U$15,21,0)-VLOOKUP($E63,Type!$A$2:$U$15,20,0))*$B63))</f>
        <v>0</v>
      </c>
      <c r="P63" s="3">
        <f>INT(VLOOKUP($D63,Role!$A$2:$O$9,8,0)*$B63)</f>
        <v>2</v>
      </c>
      <c r="Q63" s="3">
        <f>INT(VLOOKUP($D63,Role!$A$2:$O$9,9,0)*$B63)</f>
        <v>2</v>
      </c>
      <c r="R63" s="3">
        <f>INT(VLOOKUP($C63,Size!$A$2:$Z$13,18,0)*VLOOKUP($D63,Role!$A$2:$O$9,13,0)*$B63/2)</f>
        <v>2</v>
      </c>
      <c r="S63" s="3">
        <f>INT((10+$M63)*VLOOKUP($D63,Role!$A$2:$O$9,14,0))</f>
        <v>12</v>
      </c>
      <c r="T63" s="3">
        <f>INT($I63*VLOOKUP($D63,Role!$A$2:$O$9,12,0))</f>
        <v>0</v>
      </c>
      <c r="V63" s="2">
        <f>ROUND(MAX($J63,$L63)+(MIN($J63,$L63)*VLOOKUP($D63,Role!$A$2:$O$9,14,0)),0)</f>
        <v>4</v>
      </c>
      <c r="W63" s="2">
        <f>MAX(1,INT(((MIN($I63:$J63)+(MAX($I63:$J63)*$G63*VLOOKUP($D63,Role!$A$2:$O$9,15,0))))*VLOOKUP($F63,Movement!$A$2:$C$7,3,0)))</f>
        <v>1</v>
      </c>
      <c r="Y63" s="2">
        <f aca="true" t="shared" si="8" ref="Y63:Y73">INT(5+(($G63-1)/3))</f>
        <v>3</v>
      </c>
      <c r="Z63" s="2">
        <f aca="true" t="shared" si="9" ref="Z63:Z73">IF($Y63&lt;$I63,$I63-$Y63,0)</f>
        <v>0</v>
      </c>
      <c r="AA63" s="2">
        <f aca="true" t="shared" si="10" ref="AA63:AA73">(5-ROUND(($G63-1)/3,0))</f>
        <v>6</v>
      </c>
      <c r="AB63" s="2">
        <f aca="true" t="shared" si="11" ref="AB63:AB73">IF($AA63&lt;$J63,$J63-$AA63,0)</f>
        <v>0</v>
      </c>
    </row>
    <row r="64" spans="2:28" ht="12.75">
      <c r="B64" s="2">
        <v>2</v>
      </c>
      <c r="C64" s="1" t="s">
        <v>38</v>
      </c>
      <c r="D64" s="1" t="s">
        <v>34</v>
      </c>
      <c r="E64" s="1" t="s">
        <v>36</v>
      </c>
      <c r="F64" s="1" t="s">
        <v>49</v>
      </c>
      <c r="G64" s="3">
        <f>VLOOKUP($C64,Size!$A$2:$F$13,6,0)</f>
        <v>-2</v>
      </c>
      <c r="I64" s="3">
        <f>INT(VLOOKUP($C64,Size!$A$2:$Z$13,16,0)*$B64/3)</f>
        <v>1</v>
      </c>
      <c r="J64" s="3">
        <f>INT(($B64*VLOOKUP($E64,Type!$A$2:$U$15,12,0))+((VLOOKUP($E64,Type!$A$2:$U$15,13,0)-VLOOKUP($E64,Type!$A$2:$U$15,12,0))*VLOOKUP($C64,Size!$A$2:$Z$13,17,0)*$B64))</f>
        <v>2</v>
      </c>
      <c r="K64" s="3">
        <f>INT(($B64*VLOOKUP($E64,Type!$A$2:$U$15,8,0))+((VLOOKUP($E64,Type!$A$2:$U$15,9,0)-VLOOKUP($E64,Type!$A$2:$U$15,8,0))*VLOOKUP($D64,Role!$A$2:$O$9,10,0)*$B64))</f>
        <v>1</v>
      </c>
      <c r="L64" s="3">
        <f>INT(($B64*VLOOKUP($E64,Type!$A$2:$U$15,4,0))+((VLOOKUP($E64,Type!$A$2:$U$15,5,0)-VLOOKUP($E64,Type!$A$2:$U$15,4,0))*$B64))</f>
        <v>1</v>
      </c>
      <c r="M64" s="3">
        <f>INT($B64*VLOOKUP($D64,Role!$A$2:$O$9,10,0)*VLOOKUP($D64,Role!$A$2:$O$9,11,0))</f>
        <v>2</v>
      </c>
      <c r="N64" s="3">
        <f>INT(($B64*VLOOKUP($E64,Type!$A$2:$U$15,20,0))+((VLOOKUP($E64,Type!$A$2:$U$15,21,0)-VLOOKUP($E64,Type!$A$2:$U$15,20,0))*$B64))</f>
        <v>0</v>
      </c>
      <c r="P64" s="3">
        <f>INT(VLOOKUP($D64,Role!$A$2:$O$9,8,0)*$B64)</f>
        <v>2</v>
      </c>
      <c r="Q64" s="3">
        <f>INT(VLOOKUP($D64,Role!$A$2:$O$9,9,0)*$B64)</f>
        <v>2</v>
      </c>
      <c r="R64" s="3">
        <f>INT(VLOOKUP($C64,Size!$A$2:$Z$13,18,0)*VLOOKUP($D64,Role!$A$2:$O$9,13,0)*$B64/2)</f>
        <v>6</v>
      </c>
      <c r="S64" s="3">
        <f>INT((10+$M64)*VLOOKUP($D64,Role!$A$2:$O$9,14,0))</f>
        <v>12</v>
      </c>
      <c r="T64" s="3">
        <f>INT($I64*VLOOKUP($D64,Role!$A$2:$O$9,12,0))</f>
        <v>1</v>
      </c>
      <c r="V64" s="2">
        <f>ROUND(MAX($J64,$L64)+(MIN($J64,$L64)*VLOOKUP($D64,Role!$A$2:$O$9,14,0)),0)</f>
        <v>3</v>
      </c>
      <c r="W64" s="2">
        <f>MAX(1,INT(((MIN($I64:$J64)+(MAX($I64:$J64)*$G64*VLOOKUP($D64,Role!$A$2:$O$9,15,0))))*VLOOKUP($F64,Movement!$A$2:$C$7,3,0)))</f>
        <v>1</v>
      </c>
      <c r="Y64" s="2">
        <f t="shared" si="8"/>
        <v>4</v>
      </c>
      <c r="Z64" s="2">
        <f t="shared" si="9"/>
        <v>0</v>
      </c>
      <c r="AA64" s="2">
        <f t="shared" si="10"/>
        <v>6</v>
      </c>
      <c r="AB64" s="2">
        <f t="shared" si="11"/>
        <v>0</v>
      </c>
    </row>
    <row r="65" spans="2:28" ht="12.75">
      <c r="B65" s="2">
        <v>2</v>
      </c>
      <c r="C65" s="1" t="s">
        <v>39</v>
      </c>
      <c r="D65" s="1" t="s">
        <v>34</v>
      </c>
      <c r="E65" s="1" t="s">
        <v>36</v>
      </c>
      <c r="F65" s="1" t="s">
        <v>49</v>
      </c>
      <c r="G65" s="3">
        <f>VLOOKUP($C65,Size!$A$2:$F$13,6,0)</f>
        <v>-1</v>
      </c>
      <c r="I65" s="3">
        <f>INT(VLOOKUP($C65,Size!$A$2:$Z$13,16,0)*$B65/3)</f>
        <v>1</v>
      </c>
      <c r="J65" s="3">
        <f>INT(($B65*VLOOKUP($E65,Type!$A$2:$U$15,12,0))+((VLOOKUP($E65,Type!$A$2:$U$15,13,0)-VLOOKUP($E65,Type!$A$2:$U$15,12,0))*VLOOKUP($C65,Size!$A$2:$Z$13,17,0)*$B65))</f>
        <v>2</v>
      </c>
      <c r="K65" s="3">
        <f>INT(($B65*VLOOKUP($E65,Type!$A$2:$U$15,8,0))+((VLOOKUP($E65,Type!$A$2:$U$15,9,0)-VLOOKUP($E65,Type!$A$2:$U$15,8,0))*VLOOKUP($D65,Role!$A$2:$O$9,10,0)*$B65))</f>
        <v>1</v>
      </c>
      <c r="L65" s="3">
        <f>INT(($B65*VLOOKUP($E65,Type!$A$2:$U$15,4,0))+((VLOOKUP($E65,Type!$A$2:$U$15,5,0)-VLOOKUP($E65,Type!$A$2:$U$15,4,0))*$B65))</f>
        <v>1</v>
      </c>
      <c r="M65" s="3">
        <f>INT($B65*VLOOKUP($D65,Role!$A$2:$O$9,10,0)*VLOOKUP($D65,Role!$A$2:$O$9,11,0))</f>
        <v>2</v>
      </c>
      <c r="N65" s="3">
        <f>INT(($B65*VLOOKUP($E65,Type!$A$2:$U$15,20,0))+((VLOOKUP($E65,Type!$A$2:$U$15,21,0)-VLOOKUP($E65,Type!$A$2:$U$15,20,0))*$B65))</f>
        <v>0</v>
      </c>
      <c r="P65" s="3">
        <f>INT(VLOOKUP($D65,Role!$A$2:$O$9,8,0)*$B65)</f>
        <v>2</v>
      </c>
      <c r="Q65" s="3">
        <f>INT(VLOOKUP($D65,Role!$A$2:$O$9,9,0)*$B65)</f>
        <v>2</v>
      </c>
      <c r="R65" s="3">
        <f>INT(VLOOKUP($C65,Size!$A$2:$Z$13,18,0)*VLOOKUP($D65,Role!$A$2:$O$9,13,0)*$B65/2)</f>
        <v>8</v>
      </c>
      <c r="S65" s="3">
        <f>INT((10+$M65)*VLOOKUP($D65,Role!$A$2:$O$9,14,0))</f>
        <v>12</v>
      </c>
      <c r="T65" s="3">
        <f>INT($I65*VLOOKUP($D65,Role!$A$2:$O$9,12,0))</f>
        <v>1</v>
      </c>
      <c r="V65" s="2">
        <f>ROUND(MAX($J65,$L65)+(MIN($J65,$L65)*VLOOKUP($D65,Role!$A$2:$O$9,14,0)),0)</f>
        <v>3</v>
      </c>
      <c r="W65" s="2">
        <f>MAX(1,INT(((MIN($I65:$J65)+(MAX($I65:$J65)*$G65*VLOOKUP($D65,Role!$A$2:$O$9,15,0))))*VLOOKUP($F65,Movement!$A$2:$C$7,3,0)))</f>
        <v>1</v>
      </c>
      <c r="Y65" s="2">
        <f t="shared" si="8"/>
        <v>4</v>
      </c>
      <c r="Z65" s="2">
        <f t="shared" si="9"/>
        <v>0</v>
      </c>
      <c r="AA65" s="2">
        <f t="shared" si="10"/>
        <v>6</v>
      </c>
      <c r="AB65" s="2">
        <f t="shared" si="11"/>
        <v>0</v>
      </c>
    </row>
    <row r="66" spans="2:28" ht="12.75">
      <c r="B66" s="2">
        <v>2</v>
      </c>
      <c r="C66" s="1" t="s">
        <v>40</v>
      </c>
      <c r="D66" s="1" t="s">
        <v>34</v>
      </c>
      <c r="E66" s="1" t="s">
        <v>36</v>
      </c>
      <c r="F66" s="1" t="s">
        <v>49</v>
      </c>
      <c r="G66" s="3">
        <f>VLOOKUP($C66,Size!$A$2:$F$13,6,0)</f>
        <v>0</v>
      </c>
      <c r="I66" s="3">
        <f>INT(VLOOKUP($C66,Size!$A$2:$Z$13,16,0)*$B66/3)</f>
        <v>1</v>
      </c>
      <c r="J66" s="3">
        <f>INT(($B66*VLOOKUP($E66,Type!$A$2:$U$15,12,0))+((VLOOKUP($E66,Type!$A$2:$U$15,13,0)-VLOOKUP($E66,Type!$A$2:$U$15,12,0))*VLOOKUP($C66,Size!$A$2:$Z$13,17,0)*$B66))</f>
        <v>2</v>
      </c>
      <c r="K66" s="3">
        <f>INT(($B66*VLOOKUP($E66,Type!$A$2:$U$15,8,0))+((VLOOKUP($E66,Type!$A$2:$U$15,9,0)-VLOOKUP($E66,Type!$A$2:$U$15,8,0))*VLOOKUP($D66,Role!$A$2:$O$9,10,0)*$B66))</f>
        <v>1</v>
      </c>
      <c r="L66" s="3">
        <f>INT(($B66*VLOOKUP($E66,Type!$A$2:$U$15,4,0))+((VLOOKUP($E66,Type!$A$2:$U$15,5,0)-VLOOKUP($E66,Type!$A$2:$U$15,4,0))*$B66))</f>
        <v>1</v>
      </c>
      <c r="M66" s="3">
        <f>INT($B66*VLOOKUP($D66,Role!$A$2:$O$9,10,0)*VLOOKUP($D66,Role!$A$2:$O$9,11,0))</f>
        <v>2</v>
      </c>
      <c r="N66" s="3">
        <f>INT(($B66*VLOOKUP($E66,Type!$A$2:$U$15,20,0))+((VLOOKUP($E66,Type!$A$2:$U$15,21,0)-VLOOKUP($E66,Type!$A$2:$U$15,20,0))*$B66))</f>
        <v>0</v>
      </c>
      <c r="P66" s="3">
        <f>INT(VLOOKUP($D66,Role!$A$2:$O$9,8,0)*$B66)</f>
        <v>2</v>
      </c>
      <c r="Q66" s="3">
        <f>INT(VLOOKUP($D66,Role!$A$2:$O$9,9,0)*$B66)</f>
        <v>2</v>
      </c>
      <c r="R66" s="3">
        <f>INT(VLOOKUP($C66,Size!$A$2:$Z$13,18,0)*VLOOKUP($D66,Role!$A$2:$O$9,13,0)*$B66/2)</f>
        <v>10</v>
      </c>
      <c r="S66" s="3">
        <f>INT((10+$M66)*VLOOKUP($D66,Role!$A$2:$O$9,14,0))</f>
        <v>12</v>
      </c>
      <c r="T66" s="3">
        <f>INT($I66*VLOOKUP($D66,Role!$A$2:$O$9,12,0))</f>
        <v>1</v>
      </c>
      <c r="V66" s="2">
        <f>ROUND(MAX($J66,$L66)+(MIN($J66,$L66)*VLOOKUP($D66,Role!$A$2:$O$9,14,0)),0)</f>
        <v>3</v>
      </c>
      <c r="W66" s="2">
        <f>MAX(1,INT(((MIN($I66:$J66)+(MAX($I66:$J66)*$G66*VLOOKUP($D66,Role!$A$2:$O$9,15,0))))*VLOOKUP($F66,Movement!$A$2:$C$7,3,0)))</f>
        <v>1</v>
      </c>
      <c r="Y66" s="2">
        <f t="shared" si="8"/>
        <v>4</v>
      </c>
      <c r="Z66" s="2">
        <f t="shared" si="9"/>
        <v>0</v>
      </c>
      <c r="AA66" s="2">
        <f t="shared" si="10"/>
        <v>5</v>
      </c>
      <c r="AB66" s="2">
        <f t="shared" si="11"/>
        <v>0</v>
      </c>
    </row>
    <row r="67" spans="2:28" ht="12.75">
      <c r="B67" s="2">
        <v>2</v>
      </c>
      <c r="C67" s="1" t="s">
        <v>24</v>
      </c>
      <c r="D67" s="1" t="s">
        <v>34</v>
      </c>
      <c r="E67" s="1" t="s">
        <v>36</v>
      </c>
      <c r="F67" s="1" t="s">
        <v>49</v>
      </c>
      <c r="G67" s="3">
        <f>VLOOKUP($C67,Size!$A$2:$F$13,6,0)</f>
        <v>1</v>
      </c>
      <c r="I67" s="3">
        <f>INT(VLOOKUP($C67,Size!$A$2:$Z$13,16,0)*$B67/3)</f>
        <v>2</v>
      </c>
      <c r="J67" s="3">
        <f>INT(($B67*VLOOKUP($E67,Type!$A$2:$U$15,12,0))+((VLOOKUP($E67,Type!$A$2:$U$15,13,0)-VLOOKUP($E67,Type!$A$2:$U$15,12,0))*VLOOKUP($C67,Size!$A$2:$Z$13,17,0)*$B67))</f>
        <v>2</v>
      </c>
      <c r="K67" s="3">
        <f>INT(($B67*VLOOKUP($E67,Type!$A$2:$U$15,8,0))+((VLOOKUP($E67,Type!$A$2:$U$15,9,0)-VLOOKUP($E67,Type!$A$2:$U$15,8,0))*VLOOKUP($D67,Role!$A$2:$O$9,10,0)*$B67))</f>
        <v>1</v>
      </c>
      <c r="L67" s="3">
        <f>INT(($B67*VLOOKUP($E67,Type!$A$2:$U$15,4,0))+((VLOOKUP($E67,Type!$A$2:$U$15,5,0)-VLOOKUP($E67,Type!$A$2:$U$15,4,0))*$B67))</f>
        <v>1</v>
      </c>
      <c r="M67" s="3">
        <f>INT($B67*VLOOKUP($D67,Role!$A$2:$O$9,10,0)*VLOOKUP($D67,Role!$A$2:$O$9,11,0))</f>
        <v>2</v>
      </c>
      <c r="N67" s="3">
        <f>INT(($B67*VLOOKUP($E67,Type!$A$2:$U$15,20,0))+((VLOOKUP($E67,Type!$A$2:$U$15,21,0)-VLOOKUP($E67,Type!$A$2:$U$15,20,0))*$B67))</f>
        <v>0</v>
      </c>
      <c r="P67" s="3">
        <f>INT(VLOOKUP($D67,Role!$A$2:$O$9,8,0)*$B67)</f>
        <v>2</v>
      </c>
      <c r="Q67" s="3">
        <f>INT(VLOOKUP($D67,Role!$A$2:$O$9,9,0)*$B67)</f>
        <v>2</v>
      </c>
      <c r="R67" s="3">
        <f>INT(VLOOKUP($C67,Size!$A$2:$Z$13,18,0)*VLOOKUP($D67,Role!$A$2:$O$9,13,0)*$B67/2)</f>
        <v>13</v>
      </c>
      <c r="S67" s="3">
        <f>INT((10+$M67)*VLOOKUP($D67,Role!$A$2:$O$9,14,0))</f>
        <v>12</v>
      </c>
      <c r="T67" s="3">
        <f>INT($I67*VLOOKUP($D67,Role!$A$2:$O$9,12,0))</f>
        <v>2</v>
      </c>
      <c r="V67" s="2">
        <f>ROUND(MAX($J67,$L67)+(MIN($J67,$L67)*VLOOKUP($D67,Role!$A$2:$O$9,14,0)),0)</f>
        <v>3</v>
      </c>
      <c r="W67" s="2">
        <f>MAX(1,INT(((MIN($I67:$J67)+(MAX($I67:$J67)*$G67*VLOOKUP($D67,Role!$A$2:$O$9,15,0))))*VLOOKUP($F67,Movement!$A$2:$C$7,3,0)))</f>
        <v>6</v>
      </c>
      <c r="Y67" s="2">
        <f t="shared" si="8"/>
        <v>5</v>
      </c>
      <c r="Z67" s="2">
        <f t="shared" si="9"/>
        <v>0</v>
      </c>
      <c r="AA67" s="2">
        <f t="shared" si="10"/>
        <v>5</v>
      </c>
      <c r="AB67" s="2">
        <f t="shared" si="11"/>
        <v>0</v>
      </c>
    </row>
    <row r="68" spans="2:28" ht="12.75">
      <c r="B68" s="2">
        <v>2</v>
      </c>
      <c r="C68" s="1" t="s">
        <v>41</v>
      </c>
      <c r="D68" s="1" t="s">
        <v>34</v>
      </c>
      <c r="E68" s="1" t="s">
        <v>36</v>
      </c>
      <c r="F68" s="1" t="s">
        <v>49</v>
      </c>
      <c r="G68" s="3">
        <f>VLOOKUP($C68,Size!$A$2:$F$13,6,0)</f>
        <v>2</v>
      </c>
      <c r="I68" s="3">
        <f>INT(VLOOKUP($C68,Size!$A$2:$Z$13,16,0)*$B68/3)</f>
        <v>2</v>
      </c>
      <c r="J68" s="3">
        <f>INT(($B68*VLOOKUP($E68,Type!$A$2:$U$15,12,0))+((VLOOKUP($E68,Type!$A$2:$U$15,13,0)-VLOOKUP($E68,Type!$A$2:$U$15,12,0))*VLOOKUP($C68,Size!$A$2:$Z$13,17,0)*$B68))</f>
        <v>2</v>
      </c>
      <c r="K68" s="3">
        <f>INT(($B68*VLOOKUP($E68,Type!$A$2:$U$15,8,0))+((VLOOKUP($E68,Type!$A$2:$U$15,9,0)-VLOOKUP($E68,Type!$A$2:$U$15,8,0))*VLOOKUP($D68,Role!$A$2:$O$9,10,0)*$B68))</f>
        <v>1</v>
      </c>
      <c r="L68" s="3">
        <f>INT(($B68*VLOOKUP($E68,Type!$A$2:$U$15,4,0))+((VLOOKUP($E68,Type!$A$2:$U$15,5,0)-VLOOKUP($E68,Type!$A$2:$U$15,4,0))*$B68))</f>
        <v>1</v>
      </c>
      <c r="M68" s="3">
        <f>INT($B68*VLOOKUP($D68,Role!$A$2:$O$9,10,0)*VLOOKUP($D68,Role!$A$2:$O$9,11,0))</f>
        <v>2</v>
      </c>
      <c r="N68" s="3">
        <f>INT(($B68*VLOOKUP($E68,Type!$A$2:$U$15,20,0))+((VLOOKUP($E68,Type!$A$2:$U$15,21,0)-VLOOKUP($E68,Type!$A$2:$U$15,20,0))*$B68))</f>
        <v>0</v>
      </c>
      <c r="P68" s="3">
        <f>INT(VLOOKUP($D68,Role!$A$2:$O$9,8,0)*$B68)</f>
        <v>2</v>
      </c>
      <c r="Q68" s="3">
        <f>INT(VLOOKUP($D68,Role!$A$2:$O$9,9,0)*$B68)</f>
        <v>2</v>
      </c>
      <c r="R68" s="3">
        <f>INT(VLOOKUP($C68,Size!$A$2:$Z$13,18,0)*VLOOKUP($D68,Role!$A$2:$O$9,13,0)*$B68/2)</f>
        <v>16</v>
      </c>
      <c r="S68" s="3">
        <f>INT((10+$M68)*VLOOKUP($D68,Role!$A$2:$O$9,14,0))</f>
        <v>12</v>
      </c>
      <c r="T68" s="3">
        <f>INT($I68*VLOOKUP($D68,Role!$A$2:$O$9,12,0))</f>
        <v>2</v>
      </c>
      <c r="V68" s="2">
        <f>ROUND(MAX($J68,$L68)+(MIN($J68,$L68)*VLOOKUP($D68,Role!$A$2:$O$9,14,0)),0)</f>
        <v>3</v>
      </c>
      <c r="W68" s="2">
        <f>MAX(1,INT(((MIN($I68:$J68)+(MAX($I68:$J68)*$G68*VLOOKUP($D68,Role!$A$2:$O$9,15,0))))*VLOOKUP($F68,Movement!$A$2:$C$7,3,0)))</f>
        <v>9</v>
      </c>
      <c r="Y68" s="2">
        <f t="shared" si="8"/>
        <v>5</v>
      </c>
      <c r="Z68" s="2">
        <f t="shared" si="9"/>
        <v>0</v>
      </c>
      <c r="AA68" s="2">
        <f t="shared" si="10"/>
        <v>5</v>
      </c>
      <c r="AB68" s="2">
        <f t="shared" si="11"/>
        <v>0</v>
      </c>
    </row>
    <row r="69" spans="2:28" ht="12.75">
      <c r="B69" s="2">
        <v>2</v>
      </c>
      <c r="C69" s="1" t="s">
        <v>42</v>
      </c>
      <c r="D69" s="1" t="s">
        <v>34</v>
      </c>
      <c r="E69" s="1" t="s">
        <v>36</v>
      </c>
      <c r="F69" s="1" t="s">
        <v>49</v>
      </c>
      <c r="G69" s="3">
        <f>VLOOKUP($C69,Size!$A$2:$F$13,6,0)</f>
        <v>3</v>
      </c>
      <c r="I69" s="3">
        <f>INT(VLOOKUP($C69,Size!$A$2:$Z$13,16,0)*$B69/3)</f>
        <v>2</v>
      </c>
      <c r="J69" s="3">
        <f>INT(($B69*VLOOKUP($E69,Type!$A$2:$U$15,12,0))+((VLOOKUP($E69,Type!$A$2:$U$15,13,0)-VLOOKUP($E69,Type!$A$2:$U$15,12,0))*VLOOKUP($C69,Size!$A$2:$Z$13,17,0)*$B69))</f>
        <v>2</v>
      </c>
      <c r="K69" s="3">
        <f>INT(($B69*VLOOKUP($E69,Type!$A$2:$U$15,8,0))+((VLOOKUP($E69,Type!$A$2:$U$15,9,0)-VLOOKUP($E69,Type!$A$2:$U$15,8,0))*VLOOKUP($D69,Role!$A$2:$O$9,10,0)*$B69))</f>
        <v>1</v>
      </c>
      <c r="L69" s="3">
        <f>INT(($B69*VLOOKUP($E69,Type!$A$2:$U$15,4,0))+((VLOOKUP($E69,Type!$A$2:$U$15,5,0)-VLOOKUP($E69,Type!$A$2:$U$15,4,0))*$B69))</f>
        <v>1</v>
      </c>
      <c r="M69" s="3">
        <f>INT($B69*VLOOKUP($D69,Role!$A$2:$O$9,10,0)*VLOOKUP($D69,Role!$A$2:$O$9,11,0))</f>
        <v>2</v>
      </c>
      <c r="N69" s="3">
        <f>INT(($B69*VLOOKUP($E69,Type!$A$2:$U$15,20,0))+((VLOOKUP($E69,Type!$A$2:$U$15,21,0)-VLOOKUP($E69,Type!$A$2:$U$15,20,0))*$B69))</f>
        <v>0</v>
      </c>
      <c r="P69" s="3">
        <f>INT(VLOOKUP($D69,Role!$A$2:$O$9,8,0)*$B69)</f>
        <v>2</v>
      </c>
      <c r="Q69" s="3">
        <f>INT(VLOOKUP($D69,Role!$A$2:$O$9,9,0)*$B69)</f>
        <v>2</v>
      </c>
      <c r="R69" s="3">
        <f>INT(VLOOKUP($C69,Size!$A$2:$Z$13,18,0)*VLOOKUP($D69,Role!$A$2:$O$9,13,0)*$B69/2)</f>
        <v>21</v>
      </c>
      <c r="S69" s="3">
        <f>INT((10+$M69)*VLOOKUP($D69,Role!$A$2:$O$9,14,0))</f>
        <v>12</v>
      </c>
      <c r="T69" s="3">
        <f>INT($I69*VLOOKUP($D69,Role!$A$2:$O$9,12,0))</f>
        <v>2</v>
      </c>
      <c r="V69" s="2">
        <f>ROUND(MAX($J69,$L69)+(MIN($J69,$L69)*VLOOKUP($D69,Role!$A$2:$O$9,14,0)),0)</f>
        <v>3</v>
      </c>
      <c r="W69" s="2">
        <f>MAX(1,INT(((MIN($I69:$J69)+(MAX($I69:$J69)*$G69*VLOOKUP($D69,Role!$A$2:$O$9,15,0))))*VLOOKUP($F69,Movement!$A$2:$C$7,3,0)))</f>
        <v>12</v>
      </c>
      <c r="Y69" s="2">
        <f t="shared" si="8"/>
        <v>5</v>
      </c>
      <c r="Z69" s="2">
        <f t="shared" si="9"/>
        <v>0</v>
      </c>
      <c r="AA69" s="2">
        <f t="shared" si="10"/>
        <v>4</v>
      </c>
      <c r="AB69" s="2">
        <f t="shared" si="11"/>
        <v>0</v>
      </c>
    </row>
    <row r="70" spans="2:28" ht="12.75">
      <c r="B70" s="2">
        <v>2</v>
      </c>
      <c r="C70" s="1" t="s">
        <v>43</v>
      </c>
      <c r="D70" s="1" t="s">
        <v>34</v>
      </c>
      <c r="E70" s="1" t="s">
        <v>36</v>
      </c>
      <c r="F70" s="1" t="s">
        <v>49</v>
      </c>
      <c r="G70" s="3">
        <f>VLOOKUP($C70,Size!$A$2:$F$13,6,0)</f>
        <v>4</v>
      </c>
      <c r="I70" s="3">
        <f>INT(VLOOKUP($C70,Size!$A$2:$Z$13,16,0)*$B70/3)</f>
        <v>2</v>
      </c>
      <c r="J70" s="3">
        <f>INT(($B70*VLOOKUP($E70,Type!$A$2:$U$15,12,0))+((VLOOKUP($E70,Type!$A$2:$U$15,13,0)-VLOOKUP($E70,Type!$A$2:$U$15,12,0))*VLOOKUP($C70,Size!$A$2:$Z$13,17,0)*$B70))</f>
        <v>2</v>
      </c>
      <c r="K70" s="3">
        <f>INT(($B70*VLOOKUP($E70,Type!$A$2:$U$15,8,0))+((VLOOKUP($E70,Type!$A$2:$U$15,9,0)-VLOOKUP($E70,Type!$A$2:$U$15,8,0))*VLOOKUP($D70,Role!$A$2:$O$9,10,0)*$B70))</f>
        <v>1</v>
      </c>
      <c r="L70" s="3">
        <f>INT(($B70*VLOOKUP($E70,Type!$A$2:$U$15,4,0))+((VLOOKUP($E70,Type!$A$2:$U$15,5,0)-VLOOKUP($E70,Type!$A$2:$U$15,4,0))*$B70))</f>
        <v>1</v>
      </c>
      <c r="M70" s="3">
        <f>INT($B70*VLOOKUP($D70,Role!$A$2:$O$9,10,0)*VLOOKUP($D70,Role!$A$2:$O$9,11,0))</f>
        <v>2</v>
      </c>
      <c r="N70" s="3">
        <f>INT(($B70*VLOOKUP($E70,Type!$A$2:$U$15,20,0))+((VLOOKUP($E70,Type!$A$2:$U$15,21,0)-VLOOKUP($E70,Type!$A$2:$U$15,20,0))*$B70))</f>
        <v>0</v>
      </c>
      <c r="P70" s="3">
        <f>INT(VLOOKUP($D70,Role!$A$2:$O$9,8,0)*$B70)</f>
        <v>2</v>
      </c>
      <c r="Q70" s="3">
        <f>INT(VLOOKUP($D70,Role!$A$2:$O$9,9,0)*$B70)</f>
        <v>2</v>
      </c>
      <c r="R70" s="3">
        <f>INT(VLOOKUP($C70,Size!$A$2:$Z$13,18,0)*VLOOKUP($D70,Role!$A$2:$O$9,13,0)*$B70/2)</f>
        <v>25</v>
      </c>
      <c r="S70" s="3">
        <f>INT((10+$M70)*VLOOKUP($D70,Role!$A$2:$O$9,14,0))</f>
        <v>12</v>
      </c>
      <c r="T70" s="3">
        <f>INT($I70*VLOOKUP($D70,Role!$A$2:$O$9,12,0))</f>
        <v>2</v>
      </c>
      <c r="V70" s="2">
        <f>ROUND(MAX($J70,$L70)+(MIN($J70,$L70)*VLOOKUP($D70,Role!$A$2:$O$9,14,0)),0)</f>
        <v>3</v>
      </c>
      <c r="W70" s="2">
        <f>MAX(1,INT(((MIN($I70:$J70)+(MAX($I70:$J70)*$G70*VLOOKUP($D70,Role!$A$2:$O$9,15,0))))*VLOOKUP($F70,Movement!$A$2:$C$7,3,0)))</f>
        <v>15</v>
      </c>
      <c r="Y70" s="2">
        <f t="shared" si="8"/>
        <v>6</v>
      </c>
      <c r="Z70" s="2">
        <f t="shared" si="9"/>
        <v>0</v>
      </c>
      <c r="AA70" s="2">
        <f t="shared" si="10"/>
        <v>4</v>
      </c>
      <c r="AB70" s="2">
        <f t="shared" si="11"/>
        <v>0</v>
      </c>
    </row>
    <row r="71" spans="2:28" ht="12.75">
      <c r="B71" s="2">
        <v>2</v>
      </c>
      <c r="C71" s="1" t="s">
        <v>44</v>
      </c>
      <c r="D71" s="1" t="s">
        <v>34</v>
      </c>
      <c r="E71" s="1" t="s">
        <v>36</v>
      </c>
      <c r="F71" s="1" t="s">
        <v>49</v>
      </c>
      <c r="G71" s="3">
        <f>VLOOKUP($C71,Size!$A$2:$F$13,6,0)</f>
        <v>5</v>
      </c>
      <c r="I71" s="3">
        <f>INT(VLOOKUP($C71,Size!$A$2:$Z$13,16,0)*$B71/3)</f>
        <v>3</v>
      </c>
      <c r="J71" s="3">
        <f>INT(($B71*VLOOKUP($E71,Type!$A$2:$U$15,12,0))+((VLOOKUP($E71,Type!$A$2:$U$15,13,0)-VLOOKUP($E71,Type!$A$2:$U$15,12,0))*VLOOKUP($C71,Size!$A$2:$Z$13,17,0)*$B71))</f>
        <v>2</v>
      </c>
      <c r="K71" s="3">
        <f>INT(($B71*VLOOKUP($E71,Type!$A$2:$U$15,8,0))+((VLOOKUP($E71,Type!$A$2:$U$15,9,0)-VLOOKUP($E71,Type!$A$2:$U$15,8,0))*VLOOKUP($D71,Role!$A$2:$O$9,10,0)*$B71))</f>
        <v>1</v>
      </c>
      <c r="L71" s="3">
        <f>INT(($B71*VLOOKUP($E71,Type!$A$2:$U$15,4,0))+((VLOOKUP($E71,Type!$A$2:$U$15,5,0)-VLOOKUP($E71,Type!$A$2:$U$15,4,0))*$B71))</f>
        <v>1</v>
      </c>
      <c r="M71" s="3">
        <f>INT($B71*VLOOKUP($D71,Role!$A$2:$O$9,10,0)*VLOOKUP($D71,Role!$A$2:$O$9,11,0))</f>
        <v>2</v>
      </c>
      <c r="N71" s="3">
        <f>INT(($B71*VLOOKUP($E71,Type!$A$2:$U$15,20,0))+((VLOOKUP($E71,Type!$A$2:$U$15,21,0)-VLOOKUP($E71,Type!$A$2:$U$15,20,0))*$B71))</f>
        <v>0</v>
      </c>
      <c r="P71" s="3">
        <f>INT(VLOOKUP($D71,Role!$A$2:$O$9,8,0)*$B71)</f>
        <v>2</v>
      </c>
      <c r="Q71" s="3">
        <f>INT(VLOOKUP($D71,Role!$A$2:$O$9,9,0)*$B71)</f>
        <v>2</v>
      </c>
      <c r="R71" s="3">
        <f>INT(VLOOKUP($C71,Size!$A$2:$Z$13,18,0)*VLOOKUP($D71,Role!$A$2:$O$9,13,0)*$B71/2)</f>
        <v>31</v>
      </c>
      <c r="S71" s="3">
        <f>INT((10+$M71)*VLOOKUP($D71,Role!$A$2:$O$9,14,0))</f>
        <v>12</v>
      </c>
      <c r="T71" s="3">
        <f>INT($I71*VLOOKUP($D71,Role!$A$2:$O$9,12,0))</f>
        <v>3</v>
      </c>
      <c r="V71" s="2">
        <f>ROUND(MAX($J71,$L71)+(MIN($J71,$L71)*VLOOKUP($D71,Role!$A$2:$O$9,14,0)),0)</f>
        <v>3</v>
      </c>
      <c r="W71" s="2">
        <f>MAX(1,INT(((MIN($I71:$J71)+(MAX($I71:$J71)*$G71*VLOOKUP($D71,Role!$A$2:$O$9,15,0))))*VLOOKUP($F71,Movement!$A$2:$C$7,3,0)))</f>
        <v>25</v>
      </c>
      <c r="Y71" s="2">
        <f t="shared" si="8"/>
        <v>6</v>
      </c>
      <c r="Z71" s="2">
        <f t="shared" si="9"/>
        <v>0</v>
      </c>
      <c r="AA71" s="2">
        <f t="shared" si="10"/>
        <v>4</v>
      </c>
      <c r="AB71" s="2">
        <f t="shared" si="11"/>
        <v>0</v>
      </c>
    </row>
    <row r="72" spans="2:28" ht="12.75">
      <c r="B72" s="2">
        <v>2</v>
      </c>
      <c r="C72" s="1" t="s">
        <v>45</v>
      </c>
      <c r="D72" s="1" t="s">
        <v>34</v>
      </c>
      <c r="E72" s="1" t="s">
        <v>36</v>
      </c>
      <c r="F72" s="1" t="s">
        <v>49</v>
      </c>
      <c r="G72" s="3">
        <f>VLOOKUP($C72,Size!$A$2:$F$13,6,0)</f>
        <v>6</v>
      </c>
      <c r="I72" s="3">
        <f>INT(VLOOKUP($C72,Size!$A$2:$Z$13,16,0)*$B72/3)</f>
        <v>3</v>
      </c>
      <c r="J72" s="3">
        <f>INT(($B72*VLOOKUP($E72,Type!$A$2:$U$15,12,0))+((VLOOKUP($E72,Type!$A$2:$U$15,13,0)-VLOOKUP($E72,Type!$A$2:$U$15,12,0))*VLOOKUP($C72,Size!$A$2:$Z$13,17,0)*$B72))</f>
        <v>2</v>
      </c>
      <c r="K72" s="3">
        <f>INT(($B72*VLOOKUP($E72,Type!$A$2:$U$15,8,0))+((VLOOKUP($E72,Type!$A$2:$U$15,9,0)-VLOOKUP($E72,Type!$A$2:$U$15,8,0))*VLOOKUP($D72,Role!$A$2:$O$9,10,0)*$B72))</f>
        <v>1</v>
      </c>
      <c r="L72" s="3">
        <f>INT(($B72*VLOOKUP($E72,Type!$A$2:$U$15,4,0))+((VLOOKUP($E72,Type!$A$2:$U$15,5,0)-VLOOKUP($E72,Type!$A$2:$U$15,4,0))*$B72))</f>
        <v>1</v>
      </c>
      <c r="M72" s="3">
        <f>INT($B72*VLOOKUP($D72,Role!$A$2:$O$9,10,0)*VLOOKUP($D72,Role!$A$2:$O$9,11,0))</f>
        <v>2</v>
      </c>
      <c r="N72" s="3">
        <f>INT(($B72*VLOOKUP($E72,Type!$A$2:$U$15,20,0))+((VLOOKUP($E72,Type!$A$2:$U$15,21,0)-VLOOKUP($E72,Type!$A$2:$U$15,20,0))*$B72))</f>
        <v>0</v>
      </c>
      <c r="P72" s="3">
        <f>INT(VLOOKUP($D72,Role!$A$2:$O$9,8,0)*$B72)</f>
        <v>2</v>
      </c>
      <c r="Q72" s="3">
        <f>INT(VLOOKUP($D72,Role!$A$2:$O$9,9,0)*$B72)</f>
        <v>2</v>
      </c>
      <c r="R72" s="3">
        <f>INT(VLOOKUP($C72,Size!$A$2:$Z$13,18,0)*VLOOKUP($D72,Role!$A$2:$O$9,13,0)*$B72/2)</f>
        <v>38</v>
      </c>
      <c r="S72" s="3">
        <f>INT((10+$M72)*VLOOKUP($D72,Role!$A$2:$O$9,14,0))</f>
        <v>12</v>
      </c>
      <c r="T72" s="3">
        <f>INT($I72*VLOOKUP($D72,Role!$A$2:$O$9,12,0))</f>
        <v>3</v>
      </c>
      <c r="V72" s="2">
        <f>ROUND(MAX($J72,$L72)+(MIN($J72,$L72)*VLOOKUP($D72,Role!$A$2:$O$9,14,0)),0)</f>
        <v>3</v>
      </c>
      <c r="W72" s="2">
        <f>MAX(1,INT(((MIN($I72:$J72)+(MAX($I72:$J72)*$G72*VLOOKUP($D72,Role!$A$2:$O$9,15,0))))*VLOOKUP($F72,Movement!$A$2:$C$7,3,0)))</f>
        <v>30</v>
      </c>
      <c r="Y72" s="2">
        <f t="shared" si="8"/>
        <v>6</v>
      </c>
      <c r="Z72" s="2">
        <f t="shared" si="9"/>
        <v>0</v>
      </c>
      <c r="AA72" s="2">
        <f t="shared" si="10"/>
        <v>3</v>
      </c>
      <c r="AB72" s="2">
        <f t="shared" si="11"/>
        <v>0</v>
      </c>
    </row>
    <row r="73" spans="2:28" ht="12.75">
      <c r="B73" s="2">
        <v>2</v>
      </c>
      <c r="C73" s="1" t="s">
        <v>46</v>
      </c>
      <c r="D73" s="1" t="s">
        <v>34</v>
      </c>
      <c r="E73" s="1" t="s">
        <v>36</v>
      </c>
      <c r="F73" s="1" t="s">
        <v>49</v>
      </c>
      <c r="G73" s="3">
        <f>VLOOKUP($C73,Size!$A$2:$F$13,6,0)</f>
        <v>7</v>
      </c>
      <c r="I73" s="3">
        <f>INT(VLOOKUP($C73,Size!$A$2:$Z$13,16,0)*$B73/3)</f>
        <v>3</v>
      </c>
      <c r="J73" s="3">
        <f>INT(($B73*VLOOKUP($E73,Type!$A$2:$U$15,12,0))+((VLOOKUP($E73,Type!$A$2:$U$15,13,0)-VLOOKUP($E73,Type!$A$2:$U$15,12,0))*VLOOKUP($C73,Size!$A$2:$Z$13,17,0)*$B73))</f>
        <v>2</v>
      </c>
      <c r="K73" s="3">
        <f>INT(($B73*VLOOKUP($E73,Type!$A$2:$U$15,8,0))+((VLOOKUP($E73,Type!$A$2:$U$15,9,0)-VLOOKUP($E73,Type!$A$2:$U$15,8,0))*VLOOKUP($D73,Role!$A$2:$O$9,10,0)*$B73))</f>
        <v>1</v>
      </c>
      <c r="L73" s="3">
        <f>INT(($B73*VLOOKUP($E73,Type!$A$2:$U$15,4,0))+((VLOOKUP($E73,Type!$A$2:$U$15,5,0)-VLOOKUP($E73,Type!$A$2:$U$15,4,0))*$B73))</f>
        <v>1</v>
      </c>
      <c r="M73" s="3">
        <f>INT($B73*VLOOKUP($D73,Role!$A$2:$O$9,10,0)*VLOOKUP($D73,Role!$A$2:$O$9,11,0))</f>
        <v>2</v>
      </c>
      <c r="N73" s="3">
        <f>INT(($B73*VLOOKUP($E73,Type!$A$2:$U$15,20,0))+((VLOOKUP($E73,Type!$A$2:$U$15,21,0)-VLOOKUP($E73,Type!$A$2:$U$15,20,0))*$B73))</f>
        <v>0</v>
      </c>
      <c r="P73" s="3">
        <f>INT(VLOOKUP($D73,Role!$A$2:$O$9,8,0)*$B73)</f>
        <v>2</v>
      </c>
      <c r="Q73" s="3">
        <f>INT(VLOOKUP($D73,Role!$A$2:$O$9,9,0)*$B73)</f>
        <v>2</v>
      </c>
      <c r="R73" s="3">
        <f>INT(VLOOKUP($C73,Size!$A$2:$Z$13,18,0)*VLOOKUP($D73,Role!$A$2:$O$9,13,0)*$B73/2)</f>
        <v>46</v>
      </c>
      <c r="S73" s="3">
        <f>INT((10+$M73)*VLOOKUP($D73,Role!$A$2:$O$9,14,0))</f>
        <v>12</v>
      </c>
      <c r="T73" s="3">
        <f>INT($I73*VLOOKUP($D73,Role!$A$2:$O$9,12,0))</f>
        <v>3</v>
      </c>
      <c r="V73" s="2">
        <f>ROUND(MAX($J73,$L73)+(MIN($J73,$L73)*VLOOKUP($D73,Role!$A$2:$O$9,14,0)),0)</f>
        <v>3</v>
      </c>
      <c r="W73" s="2">
        <f>MAX(1,INT(((MIN($I73:$J73)+(MAX($I73:$J73)*$G73*VLOOKUP($D73,Role!$A$2:$O$9,15,0))))*VLOOKUP($F73,Movement!$A$2:$C$7,3,0)))</f>
        <v>34</v>
      </c>
      <c r="Y73" s="2">
        <f t="shared" si="8"/>
        <v>7</v>
      </c>
      <c r="Z73" s="2">
        <f t="shared" si="9"/>
        <v>0</v>
      </c>
      <c r="AA73" s="2">
        <f t="shared" si="10"/>
        <v>3</v>
      </c>
      <c r="AB73" s="2">
        <f t="shared" si="11"/>
        <v>0</v>
      </c>
    </row>
    <row r="75" spans="2:28" ht="12.75">
      <c r="B75" s="2">
        <v>3</v>
      </c>
      <c r="C75" s="1" t="s">
        <v>37</v>
      </c>
      <c r="D75" s="1" t="s">
        <v>34</v>
      </c>
      <c r="E75" s="1" t="s">
        <v>36</v>
      </c>
      <c r="F75" s="1" t="s">
        <v>49</v>
      </c>
      <c r="G75" s="3">
        <f>VLOOKUP($C75,Size!$A$2:$F$13,6,0)</f>
        <v>-3</v>
      </c>
      <c r="I75" s="3">
        <f>INT(VLOOKUP($C75,Size!$A$2:$Z$13,16,0)*$B75/3)</f>
        <v>1</v>
      </c>
      <c r="J75" s="3">
        <f>INT(($B75*VLOOKUP($E75,Type!$A$2:$U$15,12,0))+((VLOOKUP($E75,Type!$A$2:$U$15,13,0)-VLOOKUP($E75,Type!$A$2:$U$15,12,0))*VLOOKUP($C75,Size!$A$2:$Z$13,17,0)*$B75))</f>
        <v>4</v>
      </c>
      <c r="K75" s="3">
        <f>INT(($B75*VLOOKUP($E75,Type!$A$2:$U$15,8,0))+((VLOOKUP($E75,Type!$A$2:$U$15,9,0)-VLOOKUP($E75,Type!$A$2:$U$15,8,0))*VLOOKUP($D75,Role!$A$2:$O$9,10,0)*$B75))</f>
        <v>1</v>
      </c>
      <c r="L75" s="3">
        <f>INT(($B75*VLOOKUP($E75,Type!$A$2:$U$15,4,0))+((VLOOKUP($E75,Type!$A$2:$U$15,5,0)-VLOOKUP($E75,Type!$A$2:$U$15,4,0))*$B75))</f>
        <v>2</v>
      </c>
      <c r="M75" s="3">
        <f>INT($B75*VLOOKUP($D75,Role!$A$2:$O$9,10,0)*VLOOKUP($D75,Role!$A$2:$O$9,11,0))</f>
        <v>3</v>
      </c>
      <c r="N75" s="3">
        <f>INT(($B75*VLOOKUP($E75,Type!$A$2:$U$15,20,0))+((VLOOKUP($E75,Type!$A$2:$U$15,21,0)-VLOOKUP($E75,Type!$A$2:$U$15,20,0))*$B75))</f>
        <v>0</v>
      </c>
      <c r="P75" s="3">
        <f>INT(VLOOKUP($D75,Role!$A$2:$O$9,8,0)*$B75)</f>
        <v>3</v>
      </c>
      <c r="Q75" s="3">
        <f>INT(VLOOKUP($D75,Role!$A$2:$O$9,9,0)*$B75)</f>
        <v>3</v>
      </c>
      <c r="R75" s="3">
        <f>INT(VLOOKUP($C75,Size!$A$2:$Z$13,18,0)*VLOOKUP($D75,Role!$A$2:$O$9,13,0)*$B75/2)</f>
        <v>4</v>
      </c>
      <c r="S75" s="3">
        <f>INT((10+$M75)*VLOOKUP($D75,Role!$A$2:$O$9,14,0))</f>
        <v>13</v>
      </c>
      <c r="T75" s="3">
        <f>INT($I75*VLOOKUP($D75,Role!$A$2:$O$9,12,0))</f>
        <v>1</v>
      </c>
      <c r="V75" s="2">
        <f>ROUND(MAX($J75,$L75)+(MIN($J75,$L75)*VLOOKUP($D75,Role!$A$2:$O$9,14,0)),0)</f>
        <v>6</v>
      </c>
      <c r="W75" s="2">
        <f>MAX(1,INT(((MIN($I75:$J75)+(MAX($I75:$J75)*$G75*VLOOKUP($D75,Role!$A$2:$O$9,15,0))))*VLOOKUP($F75,Movement!$A$2:$C$7,3,0)))</f>
        <v>1</v>
      </c>
      <c r="Y75" s="2">
        <f aca="true" t="shared" si="12" ref="Y75:Y85">INT(5+(($G75-1)/3))</f>
        <v>3</v>
      </c>
      <c r="Z75" s="2">
        <f aca="true" t="shared" si="13" ref="Z75:Z85">IF($Y75&lt;$I75,$I75-$Y75,0)</f>
        <v>0</v>
      </c>
      <c r="AA75" s="2">
        <f aca="true" t="shared" si="14" ref="AA75:AA85">(5-ROUND(($G75-1)/3,0))</f>
        <v>6</v>
      </c>
      <c r="AB75" s="2">
        <f aca="true" t="shared" si="15" ref="AB75:AB85">IF($AA75&lt;$J75,$J75-$AA75,0)</f>
        <v>0</v>
      </c>
    </row>
    <row r="76" spans="2:28" ht="12.75">
      <c r="B76" s="2">
        <v>3</v>
      </c>
      <c r="C76" s="1" t="s">
        <v>38</v>
      </c>
      <c r="D76" s="1" t="s">
        <v>34</v>
      </c>
      <c r="E76" s="1" t="s">
        <v>36</v>
      </c>
      <c r="F76" s="1" t="s">
        <v>49</v>
      </c>
      <c r="G76" s="3">
        <f>VLOOKUP($C76,Size!$A$2:$F$13,6,0)</f>
        <v>-2</v>
      </c>
      <c r="I76" s="3">
        <f>INT(VLOOKUP($C76,Size!$A$2:$Z$13,16,0)*$B76/3)</f>
        <v>2</v>
      </c>
      <c r="J76" s="3">
        <f>INT(($B76*VLOOKUP($E76,Type!$A$2:$U$15,12,0))+((VLOOKUP($E76,Type!$A$2:$U$15,13,0)-VLOOKUP($E76,Type!$A$2:$U$15,12,0))*VLOOKUP($C76,Size!$A$2:$Z$13,17,0)*$B76))</f>
        <v>3</v>
      </c>
      <c r="K76" s="3">
        <f>INT(($B76*VLOOKUP($E76,Type!$A$2:$U$15,8,0))+((VLOOKUP($E76,Type!$A$2:$U$15,9,0)-VLOOKUP($E76,Type!$A$2:$U$15,8,0))*VLOOKUP($D76,Role!$A$2:$O$9,10,0)*$B76))</f>
        <v>1</v>
      </c>
      <c r="L76" s="3">
        <f>INT(($B76*VLOOKUP($E76,Type!$A$2:$U$15,4,0))+((VLOOKUP($E76,Type!$A$2:$U$15,5,0)-VLOOKUP($E76,Type!$A$2:$U$15,4,0))*$B76))</f>
        <v>2</v>
      </c>
      <c r="M76" s="3">
        <f>INT($B76*VLOOKUP($D76,Role!$A$2:$O$9,10,0)*VLOOKUP($D76,Role!$A$2:$O$9,11,0))</f>
        <v>3</v>
      </c>
      <c r="N76" s="3">
        <f>INT(($B76*VLOOKUP($E76,Type!$A$2:$U$15,20,0))+((VLOOKUP($E76,Type!$A$2:$U$15,21,0)-VLOOKUP($E76,Type!$A$2:$U$15,20,0))*$B76))</f>
        <v>0</v>
      </c>
      <c r="P76" s="3">
        <f>INT(VLOOKUP($D76,Role!$A$2:$O$9,8,0)*$B76)</f>
        <v>3</v>
      </c>
      <c r="Q76" s="3">
        <f>INT(VLOOKUP($D76,Role!$A$2:$O$9,9,0)*$B76)</f>
        <v>3</v>
      </c>
      <c r="R76" s="3">
        <f>INT(VLOOKUP($C76,Size!$A$2:$Z$13,18,0)*VLOOKUP($D76,Role!$A$2:$O$9,13,0)*$B76/2)</f>
        <v>9</v>
      </c>
      <c r="S76" s="3">
        <f>INT((10+$M76)*VLOOKUP($D76,Role!$A$2:$O$9,14,0))</f>
        <v>13</v>
      </c>
      <c r="T76" s="3">
        <f>INT($I76*VLOOKUP($D76,Role!$A$2:$O$9,12,0))</f>
        <v>2</v>
      </c>
      <c r="V76" s="2">
        <f>ROUND(MAX($J76,$L76)+(MIN($J76,$L76)*VLOOKUP($D76,Role!$A$2:$O$9,14,0)),0)</f>
        <v>5</v>
      </c>
      <c r="W76" s="2">
        <f>MAX(1,INT(((MIN($I76:$J76)+(MAX($I76:$J76)*$G76*VLOOKUP($D76,Role!$A$2:$O$9,15,0))))*VLOOKUP($F76,Movement!$A$2:$C$7,3,0)))</f>
        <v>1</v>
      </c>
      <c r="Y76" s="2">
        <f t="shared" si="12"/>
        <v>4</v>
      </c>
      <c r="Z76" s="2">
        <f t="shared" si="13"/>
        <v>0</v>
      </c>
      <c r="AA76" s="2">
        <f t="shared" si="14"/>
        <v>6</v>
      </c>
      <c r="AB76" s="2">
        <f t="shared" si="15"/>
        <v>0</v>
      </c>
    </row>
    <row r="77" spans="2:28" ht="12.75">
      <c r="B77" s="2">
        <v>3</v>
      </c>
      <c r="C77" s="1" t="s">
        <v>39</v>
      </c>
      <c r="D77" s="1" t="s">
        <v>34</v>
      </c>
      <c r="E77" s="1" t="s">
        <v>36</v>
      </c>
      <c r="F77" s="1" t="s">
        <v>49</v>
      </c>
      <c r="G77" s="3">
        <f>VLOOKUP($C77,Size!$A$2:$F$13,6,0)</f>
        <v>-1</v>
      </c>
      <c r="I77" s="3">
        <f>INT(VLOOKUP($C77,Size!$A$2:$Z$13,16,0)*$B77/3)</f>
        <v>2</v>
      </c>
      <c r="J77" s="3">
        <f>INT(($B77*VLOOKUP($E77,Type!$A$2:$U$15,12,0))+((VLOOKUP($E77,Type!$A$2:$U$15,13,0)-VLOOKUP($E77,Type!$A$2:$U$15,12,0))*VLOOKUP($C77,Size!$A$2:$Z$13,17,0)*$B77))</f>
        <v>3</v>
      </c>
      <c r="K77" s="3">
        <f>INT(($B77*VLOOKUP($E77,Type!$A$2:$U$15,8,0))+((VLOOKUP($E77,Type!$A$2:$U$15,9,0)-VLOOKUP($E77,Type!$A$2:$U$15,8,0))*VLOOKUP($D77,Role!$A$2:$O$9,10,0)*$B77))</f>
        <v>1</v>
      </c>
      <c r="L77" s="3">
        <f>INT(($B77*VLOOKUP($E77,Type!$A$2:$U$15,4,0))+((VLOOKUP($E77,Type!$A$2:$U$15,5,0)-VLOOKUP($E77,Type!$A$2:$U$15,4,0))*$B77))</f>
        <v>2</v>
      </c>
      <c r="M77" s="3">
        <f>INT($B77*VLOOKUP($D77,Role!$A$2:$O$9,10,0)*VLOOKUP($D77,Role!$A$2:$O$9,11,0))</f>
        <v>3</v>
      </c>
      <c r="N77" s="3">
        <f>INT(($B77*VLOOKUP($E77,Type!$A$2:$U$15,20,0))+((VLOOKUP($E77,Type!$A$2:$U$15,21,0)-VLOOKUP($E77,Type!$A$2:$U$15,20,0))*$B77))</f>
        <v>0</v>
      </c>
      <c r="P77" s="3">
        <f>INT(VLOOKUP($D77,Role!$A$2:$O$9,8,0)*$B77)</f>
        <v>3</v>
      </c>
      <c r="Q77" s="3">
        <f>INT(VLOOKUP($D77,Role!$A$2:$O$9,9,0)*$B77)</f>
        <v>3</v>
      </c>
      <c r="R77" s="3">
        <f>INT(VLOOKUP($C77,Size!$A$2:$Z$13,18,0)*VLOOKUP($D77,Role!$A$2:$O$9,13,0)*$B77/2)</f>
        <v>12</v>
      </c>
      <c r="S77" s="3">
        <f>INT((10+$M77)*VLOOKUP($D77,Role!$A$2:$O$9,14,0))</f>
        <v>13</v>
      </c>
      <c r="T77" s="3">
        <f>INT($I77*VLOOKUP($D77,Role!$A$2:$O$9,12,0))</f>
        <v>2</v>
      </c>
      <c r="V77" s="2">
        <f>ROUND(MAX($J77,$L77)+(MIN($J77,$L77)*VLOOKUP($D77,Role!$A$2:$O$9,14,0)),0)</f>
        <v>5</v>
      </c>
      <c r="W77" s="2">
        <f>MAX(1,INT(((MIN($I77:$J77)+(MAX($I77:$J77)*$G77*VLOOKUP($D77,Role!$A$2:$O$9,15,0))))*VLOOKUP($F77,Movement!$A$2:$C$7,3,0)))</f>
        <v>1</v>
      </c>
      <c r="Y77" s="2">
        <f t="shared" si="12"/>
        <v>4</v>
      </c>
      <c r="Z77" s="2">
        <f t="shared" si="13"/>
        <v>0</v>
      </c>
      <c r="AA77" s="2">
        <f t="shared" si="14"/>
        <v>6</v>
      </c>
      <c r="AB77" s="2">
        <f t="shared" si="15"/>
        <v>0</v>
      </c>
    </row>
    <row r="78" spans="2:28" ht="12.75">
      <c r="B78" s="2">
        <v>3</v>
      </c>
      <c r="C78" s="1" t="s">
        <v>40</v>
      </c>
      <c r="D78" s="1" t="s">
        <v>34</v>
      </c>
      <c r="E78" s="1" t="s">
        <v>36</v>
      </c>
      <c r="F78" s="1" t="s">
        <v>49</v>
      </c>
      <c r="G78" s="3">
        <f>VLOOKUP($C78,Size!$A$2:$F$13,6,0)</f>
        <v>0</v>
      </c>
      <c r="I78" s="3">
        <f>INT(VLOOKUP($C78,Size!$A$2:$Z$13,16,0)*$B78/3)</f>
        <v>2</v>
      </c>
      <c r="J78" s="3">
        <f>INT(($B78*VLOOKUP($E78,Type!$A$2:$U$15,12,0))+((VLOOKUP($E78,Type!$A$2:$U$15,13,0)-VLOOKUP($E78,Type!$A$2:$U$15,12,0))*VLOOKUP($C78,Size!$A$2:$Z$13,17,0)*$B78))</f>
        <v>3</v>
      </c>
      <c r="K78" s="3">
        <f>INT(($B78*VLOOKUP($E78,Type!$A$2:$U$15,8,0))+((VLOOKUP($E78,Type!$A$2:$U$15,9,0)-VLOOKUP($E78,Type!$A$2:$U$15,8,0))*VLOOKUP($D78,Role!$A$2:$O$9,10,0)*$B78))</f>
        <v>1</v>
      </c>
      <c r="L78" s="3">
        <f>INT(($B78*VLOOKUP($E78,Type!$A$2:$U$15,4,0))+((VLOOKUP($E78,Type!$A$2:$U$15,5,0)-VLOOKUP($E78,Type!$A$2:$U$15,4,0))*$B78))</f>
        <v>2</v>
      </c>
      <c r="M78" s="3">
        <f>INT($B78*VLOOKUP($D78,Role!$A$2:$O$9,10,0)*VLOOKUP($D78,Role!$A$2:$O$9,11,0))</f>
        <v>3</v>
      </c>
      <c r="N78" s="3">
        <f>INT(($B78*VLOOKUP($E78,Type!$A$2:$U$15,20,0))+((VLOOKUP($E78,Type!$A$2:$U$15,21,0)-VLOOKUP($E78,Type!$A$2:$U$15,20,0))*$B78))</f>
        <v>0</v>
      </c>
      <c r="P78" s="3">
        <f>INT(VLOOKUP($D78,Role!$A$2:$O$9,8,0)*$B78)</f>
        <v>3</v>
      </c>
      <c r="Q78" s="3">
        <f>INT(VLOOKUP($D78,Role!$A$2:$O$9,9,0)*$B78)</f>
        <v>3</v>
      </c>
      <c r="R78" s="3">
        <f>INT(VLOOKUP($C78,Size!$A$2:$Z$13,18,0)*VLOOKUP($D78,Role!$A$2:$O$9,13,0)*$B78/2)</f>
        <v>15</v>
      </c>
      <c r="S78" s="3">
        <f>INT((10+$M78)*VLOOKUP($D78,Role!$A$2:$O$9,14,0))</f>
        <v>13</v>
      </c>
      <c r="T78" s="3">
        <f>INT($I78*VLOOKUP($D78,Role!$A$2:$O$9,12,0))</f>
        <v>2</v>
      </c>
      <c r="V78" s="2">
        <f>ROUND(MAX($J78,$L78)+(MIN($J78,$L78)*VLOOKUP($D78,Role!$A$2:$O$9,14,0)),0)</f>
        <v>5</v>
      </c>
      <c r="W78" s="2">
        <f>MAX(1,INT(((MIN($I78:$J78)+(MAX($I78:$J78)*$G78*VLOOKUP($D78,Role!$A$2:$O$9,15,0))))*VLOOKUP($F78,Movement!$A$2:$C$7,3,0)))</f>
        <v>3</v>
      </c>
      <c r="Y78" s="2">
        <f t="shared" si="12"/>
        <v>4</v>
      </c>
      <c r="Z78" s="2">
        <f t="shared" si="13"/>
        <v>0</v>
      </c>
      <c r="AA78" s="2">
        <f t="shared" si="14"/>
        <v>5</v>
      </c>
      <c r="AB78" s="2">
        <f t="shared" si="15"/>
        <v>0</v>
      </c>
    </row>
    <row r="79" spans="2:28" ht="12.75">
      <c r="B79" s="2">
        <v>3</v>
      </c>
      <c r="C79" s="1" t="s">
        <v>24</v>
      </c>
      <c r="D79" s="1" t="s">
        <v>34</v>
      </c>
      <c r="E79" s="1" t="s">
        <v>36</v>
      </c>
      <c r="F79" s="1" t="s">
        <v>49</v>
      </c>
      <c r="G79" s="3">
        <f>VLOOKUP($C79,Size!$A$2:$F$13,6,0)</f>
        <v>1</v>
      </c>
      <c r="I79" s="3">
        <f>INT(VLOOKUP($C79,Size!$A$2:$Z$13,16,0)*$B79/3)</f>
        <v>3</v>
      </c>
      <c r="J79" s="3">
        <f>INT(($B79*VLOOKUP($E79,Type!$A$2:$U$15,12,0))+((VLOOKUP($E79,Type!$A$2:$U$15,13,0)-VLOOKUP($E79,Type!$A$2:$U$15,12,0))*VLOOKUP($C79,Size!$A$2:$Z$13,17,0)*$B79))</f>
        <v>3</v>
      </c>
      <c r="K79" s="3">
        <f>INT(($B79*VLOOKUP($E79,Type!$A$2:$U$15,8,0))+((VLOOKUP($E79,Type!$A$2:$U$15,9,0)-VLOOKUP($E79,Type!$A$2:$U$15,8,0))*VLOOKUP($D79,Role!$A$2:$O$9,10,0)*$B79))</f>
        <v>1</v>
      </c>
      <c r="L79" s="3">
        <f>INT(($B79*VLOOKUP($E79,Type!$A$2:$U$15,4,0))+((VLOOKUP($E79,Type!$A$2:$U$15,5,0)-VLOOKUP($E79,Type!$A$2:$U$15,4,0))*$B79))</f>
        <v>2</v>
      </c>
      <c r="M79" s="3">
        <f>INT($B79*VLOOKUP($D79,Role!$A$2:$O$9,10,0)*VLOOKUP($D79,Role!$A$2:$O$9,11,0))</f>
        <v>3</v>
      </c>
      <c r="N79" s="3">
        <f>INT(($B79*VLOOKUP($E79,Type!$A$2:$U$15,20,0))+((VLOOKUP($E79,Type!$A$2:$U$15,21,0)-VLOOKUP($E79,Type!$A$2:$U$15,20,0))*$B79))</f>
        <v>0</v>
      </c>
      <c r="P79" s="3">
        <f>INT(VLOOKUP($D79,Role!$A$2:$O$9,8,0)*$B79)</f>
        <v>3</v>
      </c>
      <c r="Q79" s="3">
        <f>INT(VLOOKUP($D79,Role!$A$2:$O$9,9,0)*$B79)</f>
        <v>3</v>
      </c>
      <c r="R79" s="3">
        <f>INT(VLOOKUP($C79,Size!$A$2:$Z$13,18,0)*VLOOKUP($D79,Role!$A$2:$O$9,13,0)*$B79/2)</f>
        <v>19</v>
      </c>
      <c r="S79" s="3">
        <f>INT((10+$M79)*VLOOKUP($D79,Role!$A$2:$O$9,14,0))</f>
        <v>13</v>
      </c>
      <c r="T79" s="3">
        <f>INT($I79*VLOOKUP($D79,Role!$A$2:$O$9,12,0))</f>
        <v>3</v>
      </c>
      <c r="V79" s="2">
        <f>ROUND(MAX($J79,$L79)+(MIN($J79,$L79)*VLOOKUP($D79,Role!$A$2:$O$9,14,0)),0)</f>
        <v>5</v>
      </c>
      <c r="W79" s="2">
        <f>MAX(1,INT(((MIN($I79:$J79)+(MAX($I79:$J79)*$G79*VLOOKUP($D79,Role!$A$2:$O$9,15,0))))*VLOOKUP($F79,Movement!$A$2:$C$7,3,0)))</f>
        <v>9</v>
      </c>
      <c r="Y79" s="2">
        <f t="shared" si="12"/>
        <v>5</v>
      </c>
      <c r="Z79" s="2">
        <f t="shared" si="13"/>
        <v>0</v>
      </c>
      <c r="AA79" s="2">
        <f t="shared" si="14"/>
        <v>5</v>
      </c>
      <c r="AB79" s="2">
        <f t="shared" si="15"/>
        <v>0</v>
      </c>
    </row>
    <row r="80" spans="2:28" ht="12.75">
      <c r="B80" s="2">
        <v>3</v>
      </c>
      <c r="C80" s="1" t="s">
        <v>41</v>
      </c>
      <c r="D80" s="1" t="s">
        <v>34</v>
      </c>
      <c r="E80" s="1" t="s">
        <v>36</v>
      </c>
      <c r="F80" s="1" t="s">
        <v>49</v>
      </c>
      <c r="G80" s="3">
        <f>VLOOKUP($C80,Size!$A$2:$F$13,6,0)</f>
        <v>2</v>
      </c>
      <c r="I80" s="3">
        <f>INT(VLOOKUP($C80,Size!$A$2:$Z$13,16,0)*$B80/3)</f>
        <v>3</v>
      </c>
      <c r="J80" s="3">
        <f>INT(($B80*VLOOKUP($E80,Type!$A$2:$U$15,12,0))+((VLOOKUP($E80,Type!$A$2:$U$15,13,0)-VLOOKUP($E80,Type!$A$2:$U$15,12,0))*VLOOKUP($C80,Size!$A$2:$Z$13,17,0)*$B80))</f>
        <v>3</v>
      </c>
      <c r="K80" s="3">
        <f>INT(($B80*VLOOKUP($E80,Type!$A$2:$U$15,8,0))+((VLOOKUP($E80,Type!$A$2:$U$15,9,0)-VLOOKUP($E80,Type!$A$2:$U$15,8,0))*VLOOKUP($D80,Role!$A$2:$O$9,10,0)*$B80))</f>
        <v>1</v>
      </c>
      <c r="L80" s="3">
        <f>INT(($B80*VLOOKUP($E80,Type!$A$2:$U$15,4,0))+((VLOOKUP($E80,Type!$A$2:$U$15,5,0)-VLOOKUP($E80,Type!$A$2:$U$15,4,0))*$B80))</f>
        <v>2</v>
      </c>
      <c r="M80" s="3">
        <f>INT($B80*VLOOKUP($D80,Role!$A$2:$O$9,10,0)*VLOOKUP($D80,Role!$A$2:$O$9,11,0))</f>
        <v>3</v>
      </c>
      <c r="N80" s="3">
        <f>INT(($B80*VLOOKUP($E80,Type!$A$2:$U$15,20,0))+((VLOOKUP($E80,Type!$A$2:$U$15,21,0)-VLOOKUP($E80,Type!$A$2:$U$15,20,0))*$B80))</f>
        <v>0</v>
      </c>
      <c r="P80" s="3">
        <f>INT(VLOOKUP($D80,Role!$A$2:$O$9,8,0)*$B80)</f>
        <v>3</v>
      </c>
      <c r="Q80" s="3">
        <f>INT(VLOOKUP($D80,Role!$A$2:$O$9,9,0)*$B80)</f>
        <v>3</v>
      </c>
      <c r="R80" s="3">
        <f>INT(VLOOKUP($C80,Size!$A$2:$Z$13,18,0)*VLOOKUP($D80,Role!$A$2:$O$9,13,0)*$B80/2)</f>
        <v>24</v>
      </c>
      <c r="S80" s="3">
        <f>INT((10+$M80)*VLOOKUP($D80,Role!$A$2:$O$9,14,0))</f>
        <v>13</v>
      </c>
      <c r="T80" s="3">
        <f>INT($I80*VLOOKUP($D80,Role!$A$2:$O$9,12,0))</f>
        <v>3</v>
      </c>
      <c r="V80" s="2">
        <f>ROUND(MAX($J80,$L80)+(MIN($J80,$L80)*VLOOKUP($D80,Role!$A$2:$O$9,14,0)),0)</f>
        <v>5</v>
      </c>
      <c r="W80" s="2">
        <f>MAX(1,INT(((MIN($I80:$J80)+(MAX($I80:$J80)*$G80*VLOOKUP($D80,Role!$A$2:$O$9,15,0))))*VLOOKUP($F80,Movement!$A$2:$C$7,3,0)))</f>
        <v>13</v>
      </c>
      <c r="Y80" s="2">
        <f t="shared" si="12"/>
        <v>5</v>
      </c>
      <c r="Z80" s="2">
        <f t="shared" si="13"/>
        <v>0</v>
      </c>
      <c r="AA80" s="2">
        <f t="shared" si="14"/>
        <v>5</v>
      </c>
      <c r="AB80" s="2">
        <f t="shared" si="15"/>
        <v>0</v>
      </c>
    </row>
    <row r="81" spans="2:28" ht="12.75">
      <c r="B81" s="2">
        <v>3</v>
      </c>
      <c r="C81" s="1" t="s">
        <v>42</v>
      </c>
      <c r="D81" s="1" t="s">
        <v>34</v>
      </c>
      <c r="E81" s="1" t="s">
        <v>36</v>
      </c>
      <c r="F81" s="1" t="s">
        <v>49</v>
      </c>
      <c r="G81" s="3">
        <f>VLOOKUP($C81,Size!$A$2:$F$13,6,0)</f>
        <v>3</v>
      </c>
      <c r="I81" s="3">
        <f>INT(VLOOKUP($C81,Size!$A$2:$Z$13,16,0)*$B81/3)</f>
        <v>4</v>
      </c>
      <c r="J81" s="3">
        <f>INT(($B81*VLOOKUP($E81,Type!$A$2:$U$15,12,0))+((VLOOKUP($E81,Type!$A$2:$U$15,13,0)-VLOOKUP($E81,Type!$A$2:$U$15,12,0))*VLOOKUP($C81,Size!$A$2:$Z$13,17,0)*$B81))</f>
        <v>3</v>
      </c>
      <c r="K81" s="3">
        <f>INT(($B81*VLOOKUP($E81,Type!$A$2:$U$15,8,0))+((VLOOKUP($E81,Type!$A$2:$U$15,9,0)-VLOOKUP($E81,Type!$A$2:$U$15,8,0))*VLOOKUP($D81,Role!$A$2:$O$9,10,0)*$B81))</f>
        <v>1</v>
      </c>
      <c r="L81" s="3">
        <f>INT(($B81*VLOOKUP($E81,Type!$A$2:$U$15,4,0))+((VLOOKUP($E81,Type!$A$2:$U$15,5,0)-VLOOKUP($E81,Type!$A$2:$U$15,4,0))*$B81))</f>
        <v>2</v>
      </c>
      <c r="M81" s="3">
        <f>INT($B81*VLOOKUP($D81,Role!$A$2:$O$9,10,0)*VLOOKUP($D81,Role!$A$2:$O$9,11,0))</f>
        <v>3</v>
      </c>
      <c r="N81" s="3">
        <f>INT(($B81*VLOOKUP($E81,Type!$A$2:$U$15,20,0))+((VLOOKUP($E81,Type!$A$2:$U$15,21,0)-VLOOKUP($E81,Type!$A$2:$U$15,20,0))*$B81))</f>
        <v>0</v>
      </c>
      <c r="P81" s="3">
        <f>INT(VLOOKUP($D81,Role!$A$2:$O$9,8,0)*$B81)</f>
        <v>3</v>
      </c>
      <c r="Q81" s="3">
        <f>INT(VLOOKUP($D81,Role!$A$2:$O$9,9,0)*$B81)</f>
        <v>3</v>
      </c>
      <c r="R81" s="3">
        <f>INT(VLOOKUP($C81,Size!$A$2:$Z$13,18,0)*VLOOKUP($D81,Role!$A$2:$O$9,13,0)*$B81/2)</f>
        <v>32</v>
      </c>
      <c r="S81" s="3">
        <f>INT((10+$M81)*VLOOKUP($D81,Role!$A$2:$O$9,14,0))</f>
        <v>13</v>
      </c>
      <c r="T81" s="3">
        <f>INT($I81*VLOOKUP($D81,Role!$A$2:$O$9,12,0))</f>
        <v>4</v>
      </c>
      <c r="V81" s="2">
        <f>ROUND(MAX($J81,$L81)+(MIN($J81,$L81)*VLOOKUP($D81,Role!$A$2:$O$9,14,0)),0)</f>
        <v>5</v>
      </c>
      <c r="W81" s="2">
        <f>MAX(1,INT(((MIN($I81:$J81)+(MAX($I81:$J81)*$G81*VLOOKUP($D81,Role!$A$2:$O$9,15,0))))*VLOOKUP($F81,Movement!$A$2:$C$7,3,0)))</f>
        <v>22</v>
      </c>
      <c r="Y81" s="2">
        <f t="shared" si="12"/>
        <v>5</v>
      </c>
      <c r="Z81" s="2">
        <f t="shared" si="13"/>
        <v>0</v>
      </c>
      <c r="AA81" s="2">
        <f t="shared" si="14"/>
        <v>4</v>
      </c>
      <c r="AB81" s="2">
        <f t="shared" si="15"/>
        <v>0</v>
      </c>
    </row>
    <row r="82" spans="2:28" ht="12.75">
      <c r="B82" s="2">
        <v>3</v>
      </c>
      <c r="C82" s="1" t="s">
        <v>43</v>
      </c>
      <c r="D82" s="1" t="s">
        <v>34</v>
      </c>
      <c r="E82" s="1" t="s">
        <v>36</v>
      </c>
      <c r="F82" s="1" t="s">
        <v>49</v>
      </c>
      <c r="G82" s="3">
        <f>VLOOKUP($C82,Size!$A$2:$F$13,6,0)</f>
        <v>4</v>
      </c>
      <c r="I82" s="3">
        <f>INT(VLOOKUP($C82,Size!$A$2:$Z$13,16,0)*$B82/3)</f>
        <v>4</v>
      </c>
      <c r="J82" s="3">
        <f>INT(($B82*VLOOKUP($E82,Type!$A$2:$U$15,12,0))+((VLOOKUP($E82,Type!$A$2:$U$15,13,0)-VLOOKUP($E82,Type!$A$2:$U$15,12,0))*VLOOKUP($C82,Size!$A$2:$Z$13,17,0)*$B82))</f>
        <v>3</v>
      </c>
      <c r="K82" s="3">
        <f>INT(($B82*VLOOKUP($E82,Type!$A$2:$U$15,8,0))+((VLOOKUP($E82,Type!$A$2:$U$15,9,0)-VLOOKUP($E82,Type!$A$2:$U$15,8,0))*VLOOKUP($D82,Role!$A$2:$O$9,10,0)*$B82))</f>
        <v>1</v>
      </c>
      <c r="L82" s="3">
        <f>INT(($B82*VLOOKUP($E82,Type!$A$2:$U$15,4,0))+((VLOOKUP($E82,Type!$A$2:$U$15,5,0)-VLOOKUP($E82,Type!$A$2:$U$15,4,0))*$B82))</f>
        <v>2</v>
      </c>
      <c r="M82" s="3">
        <f>INT($B82*VLOOKUP($D82,Role!$A$2:$O$9,10,0)*VLOOKUP($D82,Role!$A$2:$O$9,11,0))</f>
        <v>3</v>
      </c>
      <c r="N82" s="3">
        <f>INT(($B82*VLOOKUP($E82,Type!$A$2:$U$15,20,0))+((VLOOKUP($E82,Type!$A$2:$U$15,21,0)-VLOOKUP($E82,Type!$A$2:$U$15,20,0))*$B82))</f>
        <v>0</v>
      </c>
      <c r="P82" s="3">
        <f>INT(VLOOKUP($D82,Role!$A$2:$O$9,8,0)*$B82)</f>
        <v>3</v>
      </c>
      <c r="Q82" s="3">
        <f>INT(VLOOKUP($D82,Role!$A$2:$O$9,9,0)*$B82)</f>
        <v>3</v>
      </c>
      <c r="R82" s="3">
        <f>INT(VLOOKUP($C82,Size!$A$2:$Z$13,18,0)*VLOOKUP($D82,Role!$A$2:$O$9,13,0)*$B82/2)</f>
        <v>37</v>
      </c>
      <c r="S82" s="3">
        <f>INT((10+$M82)*VLOOKUP($D82,Role!$A$2:$O$9,14,0))</f>
        <v>13</v>
      </c>
      <c r="T82" s="3">
        <f>INT($I82*VLOOKUP($D82,Role!$A$2:$O$9,12,0))</f>
        <v>4</v>
      </c>
      <c r="V82" s="2">
        <f>ROUND(MAX($J82,$L82)+(MIN($J82,$L82)*VLOOKUP($D82,Role!$A$2:$O$9,14,0)),0)</f>
        <v>5</v>
      </c>
      <c r="W82" s="2">
        <f>MAX(1,INT(((MIN($I82:$J82)+(MAX($I82:$J82)*$G82*VLOOKUP($D82,Role!$A$2:$O$9,15,0))))*VLOOKUP($F82,Movement!$A$2:$C$7,3,0)))</f>
        <v>28</v>
      </c>
      <c r="Y82" s="2">
        <f t="shared" si="12"/>
        <v>6</v>
      </c>
      <c r="Z82" s="2">
        <f t="shared" si="13"/>
        <v>0</v>
      </c>
      <c r="AA82" s="2">
        <f t="shared" si="14"/>
        <v>4</v>
      </c>
      <c r="AB82" s="2">
        <f t="shared" si="15"/>
        <v>0</v>
      </c>
    </row>
    <row r="83" spans="2:28" ht="12.75">
      <c r="B83" s="2">
        <v>3</v>
      </c>
      <c r="C83" s="1" t="s">
        <v>44</v>
      </c>
      <c r="D83" s="1" t="s">
        <v>34</v>
      </c>
      <c r="E83" s="1" t="s">
        <v>36</v>
      </c>
      <c r="F83" s="1" t="s">
        <v>49</v>
      </c>
      <c r="G83" s="3">
        <f>VLOOKUP($C83,Size!$A$2:$F$13,6,0)</f>
        <v>5</v>
      </c>
      <c r="I83" s="3">
        <f>INT(VLOOKUP($C83,Size!$A$2:$Z$13,16,0)*$B83/3)</f>
        <v>5</v>
      </c>
      <c r="J83" s="3">
        <f>INT(($B83*VLOOKUP($E83,Type!$A$2:$U$15,12,0))+((VLOOKUP($E83,Type!$A$2:$U$15,13,0)-VLOOKUP($E83,Type!$A$2:$U$15,12,0))*VLOOKUP($C83,Size!$A$2:$Z$13,17,0)*$B83))</f>
        <v>3</v>
      </c>
      <c r="K83" s="3">
        <f>INT(($B83*VLOOKUP($E83,Type!$A$2:$U$15,8,0))+((VLOOKUP($E83,Type!$A$2:$U$15,9,0)-VLOOKUP($E83,Type!$A$2:$U$15,8,0))*VLOOKUP($D83,Role!$A$2:$O$9,10,0)*$B83))</f>
        <v>1</v>
      </c>
      <c r="L83" s="3">
        <f>INT(($B83*VLOOKUP($E83,Type!$A$2:$U$15,4,0))+((VLOOKUP($E83,Type!$A$2:$U$15,5,0)-VLOOKUP($E83,Type!$A$2:$U$15,4,0))*$B83))</f>
        <v>2</v>
      </c>
      <c r="M83" s="3">
        <f>INT($B83*VLOOKUP($D83,Role!$A$2:$O$9,10,0)*VLOOKUP($D83,Role!$A$2:$O$9,11,0))</f>
        <v>3</v>
      </c>
      <c r="N83" s="3">
        <f>INT(($B83*VLOOKUP($E83,Type!$A$2:$U$15,20,0))+((VLOOKUP($E83,Type!$A$2:$U$15,21,0)-VLOOKUP($E83,Type!$A$2:$U$15,20,0))*$B83))</f>
        <v>0</v>
      </c>
      <c r="P83" s="3">
        <f>INT(VLOOKUP($D83,Role!$A$2:$O$9,8,0)*$B83)</f>
        <v>3</v>
      </c>
      <c r="Q83" s="3">
        <f>INT(VLOOKUP($D83,Role!$A$2:$O$9,9,0)*$B83)</f>
        <v>3</v>
      </c>
      <c r="R83" s="3">
        <f>INT(VLOOKUP($C83,Size!$A$2:$Z$13,18,0)*VLOOKUP($D83,Role!$A$2:$O$9,13,0)*$B83/2)</f>
        <v>46</v>
      </c>
      <c r="S83" s="3">
        <f>INT((10+$M83)*VLOOKUP($D83,Role!$A$2:$O$9,14,0))</f>
        <v>13</v>
      </c>
      <c r="T83" s="3">
        <f>INT($I83*VLOOKUP($D83,Role!$A$2:$O$9,12,0))</f>
        <v>5</v>
      </c>
      <c r="V83" s="2">
        <f>ROUND(MAX($J83,$L83)+(MIN($J83,$L83)*VLOOKUP($D83,Role!$A$2:$O$9,14,0)),0)</f>
        <v>5</v>
      </c>
      <c r="W83" s="2">
        <f>MAX(1,INT(((MIN($I83:$J83)+(MAX($I83:$J83)*$G83*VLOOKUP($D83,Role!$A$2:$O$9,15,0))))*VLOOKUP($F83,Movement!$A$2:$C$7,3,0)))</f>
        <v>42</v>
      </c>
      <c r="Y83" s="2">
        <f t="shared" si="12"/>
        <v>6</v>
      </c>
      <c r="Z83" s="2">
        <f t="shared" si="13"/>
        <v>0</v>
      </c>
      <c r="AA83" s="2">
        <f t="shared" si="14"/>
        <v>4</v>
      </c>
      <c r="AB83" s="2">
        <f t="shared" si="15"/>
        <v>0</v>
      </c>
    </row>
    <row r="84" spans="2:28" ht="12.75">
      <c r="B84" s="2">
        <v>3</v>
      </c>
      <c r="C84" s="1" t="s">
        <v>45</v>
      </c>
      <c r="D84" s="1" t="s">
        <v>34</v>
      </c>
      <c r="E84" s="1" t="s">
        <v>36</v>
      </c>
      <c r="F84" s="1" t="s">
        <v>49</v>
      </c>
      <c r="G84" s="3">
        <f>VLOOKUP($C84,Size!$A$2:$F$13,6,0)</f>
        <v>6</v>
      </c>
      <c r="I84" s="3">
        <f>INT(VLOOKUP($C84,Size!$A$2:$Z$13,16,0)*$B84/3)</f>
        <v>5</v>
      </c>
      <c r="J84" s="3">
        <f>INT(($B84*VLOOKUP($E84,Type!$A$2:$U$15,12,0))+((VLOOKUP($E84,Type!$A$2:$U$15,13,0)-VLOOKUP($E84,Type!$A$2:$U$15,12,0))*VLOOKUP($C84,Size!$A$2:$Z$13,17,0)*$B84))</f>
        <v>3</v>
      </c>
      <c r="K84" s="3">
        <f>INT(($B84*VLOOKUP($E84,Type!$A$2:$U$15,8,0))+((VLOOKUP($E84,Type!$A$2:$U$15,9,0)-VLOOKUP($E84,Type!$A$2:$U$15,8,0))*VLOOKUP($D84,Role!$A$2:$O$9,10,0)*$B84))</f>
        <v>1</v>
      </c>
      <c r="L84" s="3">
        <f>INT(($B84*VLOOKUP($E84,Type!$A$2:$U$15,4,0))+((VLOOKUP($E84,Type!$A$2:$U$15,5,0)-VLOOKUP($E84,Type!$A$2:$U$15,4,0))*$B84))</f>
        <v>2</v>
      </c>
      <c r="M84" s="3">
        <f>INT($B84*VLOOKUP($D84,Role!$A$2:$O$9,10,0)*VLOOKUP($D84,Role!$A$2:$O$9,11,0))</f>
        <v>3</v>
      </c>
      <c r="N84" s="3">
        <f>INT(($B84*VLOOKUP($E84,Type!$A$2:$U$15,20,0))+((VLOOKUP($E84,Type!$A$2:$U$15,21,0)-VLOOKUP($E84,Type!$A$2:$U$15,20,0))*$B84))</f>
        <v>0</v>
      </c>
      <c r="P84" s="3">
        <f>INT(VLOOKUP($D84,Role!$A$2:$O$9,8,0)*$B84)</f>
        <v>3</v>
      </c>
      <c r="Q84" s="3">
        <f>INT(VLOOKUP($D84,Role!$A$2:$O$9,9,0)*$B84)</f>
        <v>3</v>
      </c>
      <c r="R84" s="3">
        <f>INT(VLOOKUP($C84,Size!$A$2:$Z$13,18,0)*VLOOKUP($D84,Role!$A$2:$O$9,13,0)*$B84/2)</f>
        <v>58</v>
      </c>
      <c r="S84" s="3">
        <f>INT((10+$M84)*VLOOKUP($D84,Role!$A$2:$O$9,14,0))</f>
        <v>13</v>
      </c>
      <c r="T84" s="3">
        <f>INT($I84*VLOOKUP($D84,Role!$A$2:$O$9,12,0))</f>
        <v>5</v>
      </c>
      <c r="V84" s="2">
        <f>ROUND(MAX($J84,$L84)+(MIN($J84,$L84)*VLOOKUP($D84,Role!$A$2:$O$9,14,0)),0)</f>
        <v>5</v>
      </c>
      <c r="W84" s="2">
        <f>MAX(1,INT(((MIN($I84:$J84)+(MAX($I84:$J84)*$G84*VLOOKUP($D84,Role!$A$2:$O$9,15,0))))*VLOOKUP($F84,Movement!$A$2:$C$7,3,0)))</f>
        <v>49</v>
      </c>
      <c r="Y84" s="2">
        <f t="shared" si="12"/>
        <v>6</v>
      </c>
      <c r="Z84" s="2">
        <f t="shared" si="13"/>
        <v>0</v>
      </c>
      <c r="AA84" s="2">
        <f t="shared" si="14"/>
        <v>3</v>
      </c>
      <c r="AB84" s="2">
        <f t="shared" si="15"/>
        <v>0</v>
      </c>
    </row>
    <row r="85" spans="2:28" ht="12.75">
      <c r="B85" s="2">
        <v>3</v>
      </c>
      <c r="C85" s="1" t="s">
        <v>46</v>
      </c>
      <c r="D85" s="1" t="s">
        <v>34</v>
      </c>
      <c r="E85" s="1" t="s">
        <v>36</v>
      </c>
      <c r="F85" s="1" t="s">
        <v>49</v>
      </c>
      <c r="G85" s="3">
        <f>VLOOKUP($C85,Size!$A$2:$F$13,6,0)</f>
        <v>7</v>
      </c>
      <c r="I85" s="3">
        <f>INT(VLOOKUP($C85,Size!$A$2:$Z$13,16,0)*$B85/3)</f>
        <v>5</v>
      </c>
      <c r="J85" s="3">
        <f>INT(($B85*VLOOKUP($E85,Type!$A$2:$U$15,12,0))+((VLOOKUP($E85,Type!$A$2:$U$15,13,0)-VLOOKUP($E85,Type!$A$2:$U$15,12,0))*VLOOKUP($C85,Size!$A$2:$Z$13,17,0)*$B85))</f>
        <v>3</v>
      </c>
      <c r="K85" s="3">
        <f>INT(($B85*VLOOKUP($E85,Type!$A$2:$U$15,8,0))+((VLOOKUP($E85,Type!$A$2:$U$15,9,0)-VLOOKUP($E85,Type!$A$2:$U$15,8,0))*VLOOKUP($D85,Role!$A$2:$O$9,10,0)*$B85))</f>
        <v>1</v>
      </c>
      <c r="L85" s="3">
        <f>INT(($B85*VLOOKUP($E85,Type!$A$2:$U$15,4,0))+((VLOOKUP($E85,Type!$A$2:$U$15,5,0)-VLOOKUP($E85,Type!$A$2:$U$15,4,0))*$B85))</f>
        <v>2</v>
      </c>
      <c r="M85" s="3">
        <f>INT($B85*VLOOKUP($D85,Role!$A$2:$O$9,10,0)*VLOOKUP($D85,Role!$A$2:$O$9,11,0))</f>
        <v>3</v>
      </c>
      <c r="N85" s="3">
        <f>INT(($B85*VLOOKUP($E85,Type!$A$2:$U$15,20,0))+((VLOOKUP($E85,Type!$A$2:$U$15,21,0)-VLOOKUP($E85,Type!$A$2:$U$15,20,0))*$B85))</f>
        <v>0</v>
      </c>
      <c r="P85" s="3">
        <f>INT(VLOOKUP($D85,Role!$A$2:$O$9,8,0)*$B85)</f>
        <v>3</v>
      </c>
      <c r="Q85" s="3">
        <f>INT(VLOOKUP($D85,Role!$A$2:$O$9,9,0)*$B85)</f>
        <v>3</v>
      </c>
      <c r="R85" s="3">
        <f>INT(VLOOKUP($C85,Size!$A$2:$Z$13,18,0)*VLOOKUP($D85,Role!$A$2:$O$9,13,0)*$B85/2)</f>
        <v>69</v>
      </c>
      <c r="S85" s="3">
        <f>INT((10+$M85)*VLOOKUP($D85,Role!$A$2:$O$9,14,0))</f>
        <v>13</v>
      </c>
      <c r="T85" s="3">
        <f>INT($I85*VLOOKUP($D85,Role!$A$2:$O$9,12,0))</f>
        <v>5</v>
      </c>
      <c r="V85" s="2">
        <f>ROUND(MAX($J85,$L85)+(MIN($J85,$L85)*VLOOKUP($D85,Role!$A$2:$O$9,14,0)),0)</f>
        <v>5</v>
      </c>
      <c r="W85" s="2">
        <f>MAX(1,INT(((MIN($I85:$J85)+(MAX($I85:$J85)*$G85*VLOOKUP($D85,Role!$A$2:$O$9,15,0))))*VLOOKUP($F85,Movement!$A$2:$C$7,3,0)))</f>
        <v>57</v>
      </c>
      <c r="Y85" s="2">
        <f t="shared" si="12"/>
        <v>7</v>
      </c>
      <c r="Z85" s="2">
        <f t="shared" si="13"/>
        <v>0</v>
      </c>
      <c r="AA85" s="2">
        <f t="shared" si="14"/>
        <v>3</v>
      </c>
      <c r="AB85" s="2">
        <f t="shared" si="15"/>
        <v>0</v>
      </c>
    </row>
    <row r="87" spans="2:28" ht="12.75">
      <c r="B87" s="2">
        <v>4</v>
      </c>
      <c r="C87" s="1" t="s">
        <v>37</v>
      </c>
      <c r="D87" s="1" t="s">
        <v>34</v>
      </c>
      <c r="E87" s="1" t="s">
        <v>36</v>
      </c>
      <c r="F87" s="1" t="s">
        <v>49</v>
      </c>
      <c r="G87" s="3">
        <f>VLOOKUP($C87,Size!$A$2:$F$13,6,0)</f>
        <v>-3</v>
      </c>
      <c r="I87" s="3">
        <f>INT(VLOOKUP($C87,Size!$A$2:$Z$13,16,0)*$B87/3)</f>
        <v>1</v>
      </c>
      <c r="J87" s="3">
        <f>INT(($B87*VLOOKUP($E87,Type!$A$2:$U$15,12,0))+((VLOOKUP($E87,Type!$A$2:$U$15,13,0)-VLOOKUP($E87,Type!$A$2:$U$15,12,0))*VLOOKUP($C87,Size!$A$2:$Z$13,17,0)*$B87))</f>
        <v>6</v>
      </c>
      <c r="K87" s="3">
        <f>INT(($B87*VLOOKUP($E87,Type!$A$2:$U$15,8,0))+((VLOOKUP($E87,Type!$A$2:$U$15,9,0)-VLOOKUP($E87,Type!$A$2:$U$15,8,0))*VLOOKUP($D87,Role!$A$2:$O$9,10,0)*$B87))</f>
        <v>2</v>
      </c>
      <c r="L87" s="3">
        <f>INT(($B87*VLOOKUP($E87,Type!$A$2:$U$15,4,0))+((VLOOKUP($E87,Type!$A$2:$U$15,5,0)-VLOOKUP($E87,Type!$A$2:$U$15,4,0))*$B87))</f>
        <v>3</v>
      </c>
      <c r="M87" s="3">
        <f>INT($B87*VLOOKUP($D87,Role!$A$2:$O$9,10,0)*VLOOKUP($D87,Role!$A$2:$O$9,11,0))</f>
        <v>4</v>
      </c>
      <c r="N87" s="3">
        <f>INT(($B87*VLOOKUP($E87,Type!$A$2:$U$15,20,0))+((VLOOKUP($E87,Type!$A$2:$U$15,21,0)-VLOOKUP($E87,Type!$A$2:$U$15,20,0))*$B87))</f>
        <v>1</v>
      </c>
      <c r="P87" s="3">
        <f>INT(VLOOKUP($D87,Role!$A$2:$O$9,8,0)*$B87)</f>
        <v>4</v>
      </c>
      <c r="Q87" s="3">
        <f>INT(VLOOKUP($D87,Role!$A$2:$O$9,9,0)*$B87)</f>
        <v>4</v>
      </c>
      <c r="R87" s="3">
        <f>INT(VLOOKUP($C87,Size!$A$2:$Z$13,18,0)*VLOOKUP($D87,Role!$A$2:$O$9,13,0)*$B87/2)</f>
        <v>5</v>
      </c>
      <c r="S87" s="3">
        <f>INT((10+$M87)*VLOOKUP($D87,Role!$A$2:$O$9,14,0))</f>
        <v>14</v>
      </c>
      <c r="T87" s="3">
        <f>INT($I87*VLOOKUP($D87,Role!$A$2:$O$9,12,0))</f>
        <v>1</v>
      </c>
      <c r="V87" s="2">
        <f>ROUND(MAX($J87,$L87)+(MIN($J87,$L87)*VLOOKUP($D87,Role!$A$2:$O$9,14,0)),0)</f>
        <v>9</v>
      </c>
      <c r="W87" s="2">
        <f>MAX(1,INT(((MIN($I87:$J87)+(MAX($I87:$J87)*$G87*VLOOKUP($D87,Role!$A$2:$O$9,15,0))))*VLOOKUP($F87,Movement!$A$2:$C$7,3,0)))</f>
        <v>1</v>
      </c>
      <c r="Y87" s="2">
        <f aca="true" t="shared" si="16" ref="Y87:Y97">INT(5+(($G87-1)/3))</f>
        <v>3</v>
      </c>
      <c r="Z87" s="2">
        <f aca="true" t="shared" si="17" ref="Z87:Z97">IF($Y87&lt;$I87,$I87-$Y87,0)</f>
        <v>0</v>
      </c>
      <c r="AA87" s="2">
        <f aca="true" t="shared" si="18" ref="AA87:AA97">(5-ROUND(($G87-1)/3,0))</f>
        <v>6</v>
      </c>
      <c r="AB87" s="2">
        <f aca="true" t="shared" si="19" ref="AB87:AB97">IF($AA87&lt;$J87,$J87-$AA87,0)</f>
        <v>0</v>
      </c>
    </row>
    <row r="88" spans="2:28" ht="12.75">
      <c r="B88" s="2">
        <v>4</v>
      </c>
      <c r="C88" s="1" t="s">
        <v>38</v>
      </c>
      <c r="D88" s="1" t="s">
        <v>34</v>
      </c>
      <c r="E88" s="1" t="s">
        <v>36</v>
      </c>
      <c r="F88" s="1" t="s">
        <v>49</v>
      </c>
      <c r="G88" s="3">
        <f>VLOOKUP($C88,Size!$A$2:$F$13,6,0)</f>
        <v>-2</v>
      </c>
      <c r="I88" s="3">
        <f>INT(VLOOKUP($C88,Size!$A$2:$Z$13,16,0)*$B88/3)</f>
        <v>2</v>
      </c>
      <c r="J88" s="3">
        <f>INT(($B88*VLOOKUP($E88,Type!$A$2:$U$15,12,0))+((VLOOKUP($E88,Type!$A$2:$U$15,13,0)-VLOOKUP($E88,Type!$A$2:$U$15,12,0))*VLOOKUP($C88,Size!$A$2:$Z$13,17,0)*$B88))</f>
        <v>5</v>
      </c>
      <c r="K88" s="3">
        <f>INT(($B88*VLOOKUP($E88,Type!$A$2:$U$15,8,0))+((VLOOKUP($E88,Type!$A$2:$U$15,9,0)-VLOOKUP($E88,Type!$A$2:$U$15,8,0))*VLOOKUP($D88,Role!$A$2:$O$9,10,0)*$B88))</f>
        <v>2</v>
      </c>
      <c r="L88" s="3">
        <f>INT(($B88*VLOOKUP($E88,Type!$A$2:$U$15,4,0))+((VLOOKUP($E88,Type!$A$2:$U$15,5,0)-VLOOKUP($E88,Type!$A$2:$U$15,4,0))*$B88))</f>
        <v>3</v>
      </c>
      <c r="M88" s="3">
        <f>INT($B88*VLOOKUP($D88,Role!$A$2:$O$9,10,0)*VLOOKUP($D88,Role!$A$2:$O$9,11,0))</f>
        <v>4</v>
      </c>
      <c r="N88" s="3">
        <f>INT(($B88*VLOOKUP($E88,Type!$A$2:$U$15,20,0))+((VLOOKUP($E88,Type!$A$2:$U$15,21,0)-VLOOKUP($E88,Type!$A$2:$U$15,20,0))*$B88))</f>
        <v>1</v>
      </c>
      <c r="P88" s="3">
        <f>INT(VLOOKUP($D88,Role!$A$2:$O$9,8,0)*$B88)</f>
        <v>4</v>
      </c>
      <c r="Q88" s="3">
        <f>INT(VLOOKUP($D88,Role!$A$2:$O$9,9,0)*$B88)</f>
        <v>4</v>
      </c>
      <c r="R88" s="3">
        <f>INT(VLOOKUP($C88,Size!$A$2:$Z$13,18,0)*VLOOKUP($D88,Role!$A$2:$O$9,13,0)*$B88/2)</f>
        <v>13</v>
      </c>
      <c r="S88" s="3">
        <f>INT((10+$M88)*VLOOKUP($D88,Role!$A$2:$O$9,14,0))</f>
        <v>14</v>
      </c>
      <c r="T88" s="3">
        <f>INT($I88*VLOOKUP($D88,Role!$A$2:$O$9,12,0))</f>
        <v>2</v>
      </c>
      <c r="V88" s="2">
        <f>ROUND(MAX($J88,$L88)+(MIN($J88,$L88)*VLOOKUP($D88,Role!$A$2:$O$9,14,0)),0)</f>
        <v>8</v>
      </c>
      <c r="W88" s="2">
        <f>MAX(1,INT(((MIN($I88:$J88)+(MAX($I88:$J88)*$G88*VLOOKUP($D88,Role!$A$2:$O$9,15,0))))*VLOOKUP($F88,Movement!$A$2:$C$7,3,0)))</f>
        <v>1</v>
      </c>
      <c r="Y88" s="2">
        <f t="shared" si="16"/>
        <v>4</v>
      </c>
      <c r="Z88" s="2">
        <f t="shared" si="17"/>
        <v>0</v>
      </c>
      <c r="AA88" s="2">
        <f t="shared" si="18"/>
        <v>6</v>
      </c>
      <c r="AB88" s="2">
        <f t="shared" si="19"/>
        <v>0</v>
      </c>
    </row>
    <row r="89" spans="2:28" ht="12.75">
      <c r="B89" s="2">
        <v>4</v>
      </c>
      <c r="C89" s="1" t="s">
        <v>39</v>
      </c>
      <c r="D89" s="1" t="s">
        <v>34</v>
      </c>
      <c r="E89" s="1" t="s">
        <v>36</v>
      </c>
      <c r="F89" s="1" t="s">
        <v>49</v>
      </c>
      <c r="G89" s="3">
        <f>VLOOKUP($C89,Size!$A$2:$F$13,6,0)</f>
        <v>-1</v>
      </c>
      <c r="I89" s="3">
        <f>INT(VLOOKUP($C89,Size!$A$2:$Z$13,16,0)*$B89/3)</f>
        <v>2</v>
      </c>
      <c r="J89" s="3">
        <f>INT(($B89*VLOOKUP($E89,Type!$A$2:$U$15,12,0))+((VLOOKUP($E89,Type!$A$2:$U$15,13,0)-VLOOKUP($E89,Type!$A$2:$U$15,12,0))*VLOOKUP($C89,Size!$A$2:$Z$13,17,0)*$B89))</f>
        <v>5</v>
      </c>
      <c r="K89" s="3">
        <f>INT(($B89*VLOOKUP($E89,Type!$A$2:$U$15,8,0))+((VLOOKUP($E89,Type!$A$2:$U$15,9,0)-VLOOKUP($E89,Type!$A$2:$U$15,8,0))*VLOOKUP($D89,Role!$A$2:$O$9,10,0)*$B89))</f>
        <v>2</v>
      </c>
      <c r="L89" s="3">
        <f>INT(($B89*VLOOKUP($E89,Type!$A$2:$U$15,4,0))+((VLOOKUP($E89,Type!$A$2:$U$15,5,0)-VLOOKUP($E89,Type!$A$2:$U$15,4,0))*$B89))</f>
        <v>3</v>
      </c>
      <c r="M89" s="3">
        <f>INT($B89*VLOOKUP($D89,Role!$A$2:$O$9,10,0)*VLOOKUP($D89,Role!$A$2:$O$9,11,0))</f>
        <v>4</v>
      </c>
      <c r="N89" s="3">
        <f>INT(($B89*VLOOKUP($E89,Type!$A$2:$U$15,20,0))+((VLOOKUP($E89,Type!$A$2:$U$15,21,0)-VLOOKUP($E89,Type!$A$2:$U$15,20,0))*$B89))</f>
        <v>1</v>
      </c>
      <c r="P89" s="3">
        <f>INT(VLOOKUP($D89,Role!$A$2:$O$9,8,0)*$B89)</f>
        <v>4</v>
      </c>
      <c r="Q89" s="3">
        <f>INT(VLOOKUP($D89,Role!$A$2:$O$9,9,0)*$B89)</f>
        <v>4</v>
      </c>
      <c r="R89" s="3">
        <f>INT(VLOOKUP($C89,Size!$A$2:$Z$13,18,0)*VLOOKUP($D89,Role!$A$2:$O$9,13,0)*$B89/2)</f>
        <v>16</v>
      </c>
      <c r="S89" s="3">
        <f>INT((10+$M89)*VLOOKUP($D89,Role!$A$2:$O$9,14,0))</f>
        <v>14</v>
      </c>
      <c r="T89" s="3">
        <f>INT($I89*VLOOKUP($D89,Role!$A$2:$O$9,12,0))</f>
        <v>2</v>
      </c>
      <c r="V89" s="2">
        <f>ROUND(MAX($J89,$L89)+(MIN($J89,$L89)*VLOOKUP($D89,Role!$A$2:$O$9,14,0)),0)</f>
        <v>8</v>
      </c>
      <c r="W89" s="2">
        <f>MAX(1,INT(((MIN($I89:$J89)+(MAX($I89:$J89)*$G89*VLOOKUP($D89,Role!$A$2:$O$9,15,0))))*VLOOKUP($F89,Movement!$A$2:$C$7,3,0)))</f>
        <v>1</v>
      </c>
      <c r="Y89" s="2">
        <f t="shared" si="16"/>
        <v>4</v>
      </c>
      <c r="Z89" s="2">
        <f t="shared" si="17"/>
        <v>0</v>
      </c>
      <c r="AA89" s="2">
        <f t="shared" si="18"/>
        <v>6</v>
      </c>
      <c r="AB89" s="2">
        <f t="shared" si="19"/>
        <v>0</v>
      </c>
    </row>
    <row r="90" spans="2:28" ht="12.75">
      <c r="B90" s="2">
        <v>4</v>
      </c>
      <c r="C90" s="1" t="s">
        <v>40</v>
      </c>
      <c r="D90" s="1" t="s">
        <v>34</v>
      </c>
      <c r="E90" s="1" t="s">
        <v>36</v>
      </c>
      <c r="F90" s="1" t="s">
        <v>49</v>
      </c>
      <c r="G90" s="3">
        <f>VLOOKUP($C90,Size!$A$2:$F$13,6,0)</f>
        <v>0</v>
      </c>
      <c r="I90" s="3">
        <f>INT(VLOOKUP($C90,Size!$A$2:$Z$13,16,0)*$B90/3)</f>
        <v>2</v>
      </c>
      <c r="J90" s="3">
        <f>INT(($B90*VLOOKUP($E90,Type!$A$2:$U$15,12,0))+((VLOOKUP($E90,Type!$A$2:$U$15,13,0)-VLOOKUP($E90,Type!$A$2:$U$15,12,0))*VLOOKUP($C90,Size!$A$2:$Z$13,17,0)*$B90))</f>
        <v>5</v>
      </c>
      <c r="K90" s="3">
        <f>INT(($B90*VLOOKUP($E90,Type!$A$2:$U$15,8,0))+((VLOOKUP($E90,Type!$A$2:$U$15,9,0)-VLOOKUP($E90,Type!$A$2:$U$15,8,0))*VLOOKUP($D90,Role!$A$2:$O$9,10,0)*$B90))</f>
        <v>2</v>
      </c>
      <c r="L90" s="3">
        <f>INT(($B90*VLOOKUP($E90,Type!$A$2:$U$15,4,0))+((VLOOKUP($E90,Type!$A$2:$U$15,5,0)-VLOOKUP($E90,Type!$A$2:$U$15,4,0))*$B90))</f>
        <v>3</v>
      </c>
      <c r="M90" s="3">
        <f>INT($B90*VLOOKUP($D90,Role!$A$2:$O$9,10,0)*VLOOKUP($D90,Role!$A$2:$O$9,11,0))</f>
        <v>4</v>
      </c>
      <c r="N90" s="3">
        <f>INT(($B90*VLOOKUP($E90,Type!$A$2:$U$15,20,0))+((VLOOKUP($E90,Type!$A$2:$U$15,21,0)-VLOOKUP($E90,Type!$A$2:$U$15,20,0))*$B90))</f>
        <v>1</v>
      </c>
      <c r="P90" s="3">
        <f>INT(VLOOKUP($D90,Role!$A$2:$O$9,8,0)*$B90)</f>
        <v>4</v>
      </c>
      <c r="Q90" s="3">
        <f>INT(VLOOKUP($D90,Role!$A$2:$O$9,9,0)*$B90)</f>
        <v>4</v>
      </c>
      <c r="R90" s="3">
        <f>INT(VLOOKUP($C90,Size!$A$2:$Z$13,18,0)*VLOOKUP($D90,Role!$A$2:$O$9,13,0)*$B90/2)</f>
        <v>20</v>
      </c>
      <c r="S90" s="3">
        <f>INT((10+$M90)*VLOOKUP($D90,Role!$A$2:$O$9,14,0))</f>
        <v>14</v>
      </c>
      <c r="T90" s="3">
        <f>INT($I90*VLOOKUP($D90,Role!$A$2:$O$9,12,0))</f>
        <v>2</v>
      </c>
      <c r="V90" s="2">
        <f>ROUND(MAX($J90,$L90)+(MIN($J90,$L90)*VLOOKUP($D90,Role!$A$2:$O$9,14,0)),0)</f>
        <v>8</v>
      </c>
      <c r="W90" s="2">
        <f>MAX(1,INT(((MIN($I90:$J90)+(MAX($I90:$J90)*$G90*VLOOKUP($D90,Role!$A$2:$O$9,15,0))))*VLOOKUP($F90,Movement!$A$2:$C$7,3,0)))</f>
        <v>3</v>
      </c>
      <c r="Y90" s="2">
        <f t="shared" si="16"/>
        <v>4</v>
      </c>
      <c r="Z90" s="2">
        <f t="shared" si="17"/>
        <v>0</v>
      </c>
      <c r="AA90" s="2">
        <f t="shared" si="18"/>
        <v>5</v>
      </c>
      <c r="AB90" s="2">
        <f t="shared" si="19"/>
        <v>0</v>
      </c>
    </row>
    <row r="91" spans="2:28" ht="12.75">
      <c r="B91" s="2">
        <v>4</v>
      </c>
      <c r="C91" s="1" t="s">
        <v>24</v>
      </c>
      <c r="D91" s="1" t="s">
        <v>34</v>
      </c>
      <c r="E91" s="1" t="s">
        <v>36</v>
      </c>
      <c r="F91" s="1" t="s">
        <v>49</v>
      </c>
      <c r="G91" s="3">
        <f>VLOOKUP($C91,Size!$A$2:$F$13,6,0)</f>
        <v>1</v>
      </c>
      <c r="I91" s="3">
        <f>INT(VLOOKUP($C91,Size!$A$2:$Z$13,16,0)*$B91/3)</f>
        <v>4</v>
      </c>
      <c r="J91" s="3">
        <f>INT(($B91*VLOOKUP($E91,Type!$A$2:$U$15,12,0))+((VLOOKUP($E91,Type!$A$2:$U$15,13,0)-VLOOKUP($E91,Type!$A$2:$U$15,12,0))*VLOOKUP($C91,Size!$A$2:$Z$13,17,0)*$B91))</f>
        <v>5</v>
      </c>
      <c r="K91" s="3">
        <f>INT(($B91*VLOOKUP($E91,Type!$A$2:$U$15,8,0))+((VLOOKUP($E91,Type!$A$2:$U$15,9,0)-VLOOKUP($E91,Type!$A$2:$U$15,8,0))*VLOOKUP($D91,Role!$A$2:$O$9,10,0)*$B91))</f>
        <v>2</v>
      </c>
      <c r="L91" s="3">
        <f>INT(($B91*VLOOKUP($E91,Type!$A$2:$U$15,4,0))+((VLOOKUP($E91,Type!$A$2:$U$15,5,0)-VLOOKUP($E91,Type!$A$2:$U$15,4,0))*$B91))</f>
        <v>3</v>
      </c>
      <c r="M91" s="3">
        <f>INT($B91*VLOOKUP($D91,Role!$A$2:$O$9,10,0)*VLOOKUP($D91,Role!$A$2:$O$9,11,0))</f>
        <v>4</v>
      </c>
      <c r="N91" s="3">
        <f>INT(($B91*VLOOKUP($E91,Type!$A$2:$U$15,20,0))+((VLOOKUP($E91,Type!$A$2:$U$15,21,0)-VLOOKUP($E91,Type!$A$2:$U$15,20,0))*$B91))</f>
        <v>1</v>
      </c>
      <c r="P91" s="3">
        <f>INT(VLOOKUP($D91,Role!$A$2:$O$9,8,0)*$B91)</f>
        <v>4</v>
      </c>
      <c r="Q91" s="3">
        <f>INT(VLOOKUP($D91,Role!$A$2:$O$9,9,0)*$B91)</f>
        <v>4</v>
      </c>
      <c r="R91" s="3">
        <f>INT(VLOOKUP($C91,Size!$A$2:$Z$13,18,0)*VLOOKUP($D91,Role!$A$2:$O$9,13,0)*$B91/2)</f>
        <v>26</v>
      </c>
      <c r="S91" s="3">
        <f>INT((10+$M91)*VLOOKUP($D91,Role!$A$2:$O$9,14,0))</f>
        <v>14</v>
      </c>
      <c r="T91" s="3">
        <f>INT($I91*VLOOKUP($D91,Role!$A$2:$O$9,12,0))</f>
        <v>4</v>
      </c>
      <c r="V91" s="2">
        <f>ROUND(MAX($J91,$L91)+(MIN($J91,$L91)*VLOOKUP($D91,Role!$A$2:$O$9,14,0)),0)</f>
        <v>8</v>
      </c>
      <c r="W91" s="2">
        <f>MAX(1,INT(((MIN($I91:$J91)+(MAX($I91:$J91)*$G91*VLOOKUP($D91,Role!$A$2:$O$9,15,0))))*VLOOKUP($F91,Movement!$A$2:$C$7,3,0)))</f>
        <v>13</v>
      </c>
      <c r="Y91" s="2">
        <f t="shared" si="16"/>
        <v>5</v>
      </c>
      <c r="Z91" s="2">
        <f t="shared" si="17"/>
        <v>0</v>
      </c>
      <c r="AA91" s="2">
        <f t="shared" si="18"/>
        <v>5</v>
      </c>
      <c r="AB91" s="2">
        <f t="shared" si="19"/>
        <v>0</v>
      </c>
    </row>
    <row r="92" spans="2:28" ht="12.75">
      <c r="B92" s="2">
        <v>4</v>
      </c>
      <c r="C92" s="1" t="s">
        <v>41</v>
      </c>
      <c r="D92" s="1" t="s">
        <v>34</v>
      </c>
      <c r="E92" s="1" t="s">
        <v>36</v>
      </c>
      <c r="F92" s="1" t="s">
        <v>49</v>
      </c>
      <c r="G92" s="3">
        <f>VLOOKUP($C92,Size!$A$2:$F$13,6,0)</f>
        <v>2</v>
      </c>
      <c r="I92" s="3">
        <f>INT(VLOOKUP($C92,Size!$A$2:$Z$13,16,0)*$B92/3)</f>
        <v>4</v>
      </c>
      <c r="J92" s="3">
        <f>INT(($B92*VLOOKUP($E92,Type!$A$2:$U$15,12,0))+((VLOOKUP($E92,Type!$A$2:$U$15,13,0)-VLOOKUP($E92,Type!$A$2:$U$15,12,0))*VLOOKUP($C92,Size!$A$2:$Z$13,17,0)*$B92))</f>
        <v>5</v>
      </c>
      <c r="K92" s="3">
        <f>INT(($B92*VLOOKUP($E92,Type!$A$2:$U$15,8,0))+((VLOOKUP($E92,Type!$A$2:$U$15,9,0)-VLOOKUP($E92,Type!$A$2:$U$15,8,0))*VLOOKUP($D92,Role!$A$2:$O$9,10,0)*$B92))</f>
        <v>2</v>
      </c>
      <c r="L92" s="3">
        <f>INT(($B92*VLOOKUP($E92,Type!$A$2:$U$15,4,0))+((VLOOKUP($E92,Type!$A$2:$U$15,5,0)-VLOOKUP($E92,Type!$A$2:$U$15,4,0))*$B92))</f>
        <v>3</v>
      </c>
      <c r="M92" s="3">
        <f>INT($B92*VLOOKUP($D92,Role!$A$2:$O$9,10,0)*VLOOKUP($D92,Role!$A$2:$O$9,11,0))</f>
        <v>4</v>
      </c>
      <c r="N92" s="3">
        <f>INT(($B92*VLOOKUP($E92,Type!$A$2:$U$15,20,0))+((VLOOKUP($E92,Type!$A$2:$U$15,21,0)-VLOOKUP($E92,Type!$A$2:$U$15,20,0))*$B92))</f>
        <v>1</v>
      </c>
      <c r="P92" s="3">
        <f>INT(VLOOKUP($D92,Role!$A$2:$O$9,8,0)*$B92)</f>
        <v>4</v>
      </c>
      <c r="Q92" s="3">
        <f>INT(VLOOKUP($D92,Role!$A$2:$O$9,9,0)*$B92)</f>
        <v>4</v>
      </c>
      <c r="R92" s="3">
        <f>INT(VLOOKUP($C92,Size!$A$2:$Z$13,18,0)*VLOOKUP($D92,Role!$A$2:$O$9,13,0)*$B92/2)</f>
        <v>32</v>
      </c>
      <c r="S92" s="3">
        <f>INT((10+$M92)*VLOOKUP($D92,Role!$A$2:$O$9,14,0))</f>
        <v>14</v>
      </c>
      <c r="T92" s="3">
        <f>INT($I92*VLOOKUP($D92,Role!$A$2:$O$9,12,0))</f>
        <v>4</v>
      </c>
      <c r="V92" s="2">
        <f>ROUND(MAX($J92,$L92)+(MIN($J92,$L92)*VLOOKUP($D92,Role!$A$2:$O$9,14,0)),0)</f>
        <v>8</v>
      </c>
      <c r="W92" s="2">
        <f>MAX(1,INT(((MIN($I92:$J92)+(MAX($I92:$J92)*$G92*VLOOKUP($D92,Role!$A$2:$O$9,15,0))))*VLOOKUP($F92,Movement!$A$2:$C$7,3,0)))</f>
        <v>21</v>
      </c>
      <c r="Y92" s="2">
        <f t="shared" si="16"/>
        <v>5</v>
      </c>
      <c r="Z92" s="2">
        <f t="shared" si="17"/>
        <v>0</v>
      </c>
      <c r="AA92" s="2">
        <f t="shared" si="18"/>
        <v>5</v>
      </c>
      <c r="AB92" s="2">
        <f t="shared" si="19"/>
        <v>0</v>
      </c>
    </row>
    <row r="93" spans="2:28" ht="12.75">
      <c r="B93" s="2">
        <v>4</v>
      </c>
      <c r="C93" s="1" t="s">
        <v>42</v>
      </c>
      <c r="D93" s="1" t="s">
        <v>34</v>
      </c>
      <c r="E93" s="1" t="s">
        <v>36</v>
      </c>
      <c r="F93" s="1" t="s">
        <v>49</v>
      </c>
      <c r="G93" s="3">
        <f>VLOOKUP($C93,Size!$A$2:$F$13,6,0)</f>
        <v>3</v>
      </c>
      <c r="I93" s="3">
        <f>INT(VLOOKUP($C93,Size!$A$2:$Z$13,16,0)*$B93/3)</f>
        <v>5</v>
      </c>
      <c r="J93" s="3">
        <f>INT(($B93*VLOOKUP($E93,Type!$A$2:$U$15,12,0))+((VLOOKUP($E93,Type!$A$2:$U$15,13,0)-VLOOKUP($E93,Type!$A$2:$U$15,12,0))*VLOOKUP($C93,Size!$A$2:$Z$13,17,0)*$B93))</f>
        <v>4</v>
      </c>
      <c r="K93" s="3">
        <f>INT(($B93*VLOOKUP($E93,Type!$A$2:$U$15,8,0))+((VLOOKUP($E93,Type!$A$2:$U$15,9,0)-VLOOKUP($E93,Type!$A$2:$U$15,8,0))*VLOOKUP($D93,Role!$A$2:$O$9,10,0)*$B93))</f>
        <v>2</v>
      </c>
      <c r="L93" s="3">
        <f>INT(($B93*VLOOKUP($E93,Type!$A$2:$U$15,4,0))+((VLOOKUP($E93,Type!$A$2:$U$15,5,0)-VLOOKUP($E93,Type!$A$2:$U$15,4,0))*$B93))</f>
        <v>3</v>
      </c>
      <c r="M93" s="3">
        <f>INT($B93*VLOOKUP($D93,Role!$A$2:$O$9,10,0)*VLOOKUP($D93,Role!$A$2:$O$9,11,0))</f>
        <v>4</v>
      </c>
      <c r="N93" s="3">
        <f>INT(($B93*VLOOKUP($E93,Type!$A$2:$U$15,20,0))+((VLOOKUP($E93,Type!$A$2:$U$15,21,0)-VLOOKUP($E93,Type!$A$2:$U$15,20,0))*$B93))</f>
        <v>1</v>
      </c>
      <c r="P93" s="3">
        <f>INT(VLOOKUP($D93,Role!$A$2:$O$9,8,0)*$B93)</f>
        <v>4</v>
      </c>
      <c r="Q93" s="3">
        <f>INT(VLOOKUP($D93,Role!$A$2:$O$9,9,0)*$B93)</f>
        <v>4</v>
      </c>
      <c r="R93" s="3">
        <f>INT(VLOOKUP($C93,Size!$A$2:$Z$13,18,0)*VLOOKUP($D93,Role!$A$2:$O$9,13,0)*$B93/2)</f>
        <v>43</v>
      </c>
      <c r="S93" s="3">
        <f>INT((10+$M93)*VLOOKUP($D93,Role!$A$2:$O$9,14,0))</f>
        <v>14</v>
      </c>
      <c r="T93" s="3">
        <f>INT($I93*VLOOKUP($D93,Role!$A$2:$O$9,12,0))</f>
        <v>5</v>
      </c>
      <c r="V93" s="2">
        <f>ROUND(MAX($J93,$L93)+(MIN($J93,$L93)*VLOOKUP($D93,Role!$A$2:$O$9,14,0)),0)</f>
        <v>7</v>
      </c>
      <c r="W93" s="2">
        <f>MAX(1,INT(((MIN($I93:$J93)+(MAX($I93:$J93)*$G93*VLOOKUP($D93,Role!$A$2:$O$9,15,0))))*VLOOKUP($F93,Movement!$A$2:$C$7,3,0)))</f>
        <v>28</v>
      </c>
      <c r="Y93" s="2">
        <f t="shared" si="16"/>
        <v>5</v>
      </c>
      <c r="Z93" s="2">
        <f t="shared" si="17"/>
        <v>0</v>
      </c>
      <c r="AA93" s="2">
        <f t="shared" si="18"/>
        <v>4</v>
      </c>
      <c r="AB93" s="2">
        <f t="shared" si="19"/>
        <v>0</v>
      </c>
    </row>
    <row r="94" spans="2:28" ht="12.75">
      <c r="B94" s="2">
        <v>4</v>
      </c>
      <c r="C94" s="1" t="s">
        <v>43</v>
      </c>
      <c r="D94" s="1" t="s">
        <v>34</v>
      </c>
      <c r="E94" s="1" t="s">
        <v>36</v>
      </c>
      <c r="F94" s="1" t="s">
        <v>49</v>
      </c>
      <c r="G94" s="3">
        <f>VLOOKUP($C94,Size!$A$2:$F$13,6,0)</f>
        <v>4</v>
      </c>
      <c r="I94" s="3">
        <f>INT(VLOOKUP($C94,Size!$A$2:$Z$13,16,0)*$B94/3)</f>
        <v>5</v>
      </c>
      <c r="J94" s="3">
        <f>INT(($B94*VLOOKUP($E94,Type!$A$2:$U$15,12,0))+((VLOOKUP($E94,Type!$A$2:$U$15,13,0)-VLOOKUP($E94,Type!$A$2:$U$15,12,0))*VLOOKUP($C94,Size!$A$2:$Z$13,17,0)*$B94))</f>
        <v>4</v>
      </c>
      <c r="K94" s="3">
        <f>INT(($B94*VLOOKUP($E94,Type!$A$2:$U$15,8,0))+((VLOOKUP($E94,Type!$A$2:$U$15,9,0)-VLOOKUP($E94,Type!$A$2:$U$15,8,0))*VLOOKUP($D94,Role!$A$2:$O$9,10,0)*$B94))</f>
        <v>2</v>
      </c>
      <c r="L94" s="3">
        <f>INT(($B94*VLOOKUP($E94,Type!$A$2:$U$15,4,0))+((VLOOKUP($E94,Type!$A$2:$U$15,5,0)-VLOOKUP($E94,Type!$A$2:$U$15,4,0))*$B94))</f>
        <v>3</v>
      </c>
      <c r="M94" s="3">
        <f>INT($B94*VLOOKUP($D94,Role!$A$2:$O$9,10,0)*VLOOKUP($D94,Role!$A$2:$O$9,11,0))</f>
        <v>4</v>
      </c>
      <c r="N94" s="3">
        <f>INT(($B94*VLOOKUP($E94,Type!$A$2:$U$15,20,0))+((VLOOKUP($E94,Type!$A$2:$U$15,21,0)-VLOOKUP($E94,Type!$A$2:$U$15,20,0))*$B94))</f>
        <v>1</v>
      </c>
      <c r="P94" s="3">
        <f>INT(VLOOKUP($D94,Role!$A$2:$O$9,8,0)*$B94)</f>
        <v>4</v>
      </c>
      <c r="Q94" s="3">
        <f>INT(VLOOKUP($D94,Role!$A$2:$O$9,9,0)*$B94)</f>
        <v>4</v>
      </c>
      <c r="R94" s="3">
        <f>INT(VLOOKUP($C94,Size!$A$2:$Z$13,18,0)*VLOOKUP($D94,Role!$A$2:$O$9,13,0)*$B94/2)</f>
        <v>50</v>
      </c>
      <c r="S94" s="3">
        <f>INT((10+$M94)*VLOOKUP($D94,Role!$A$2:$O$9,14,0))</f>
        <v>14</v>
      </c>
      <c r="T94" s="3">
        <f>INT($I94*VLOOKUP($D94,Role!$A$2:$O$9,12,0))</f>
        <v>5</v>
      </c>
      <c r="V94" s="2">
        <f>ROUND(MAX($J94,$L94)+(MIN($J94,$L94)*VLOOKUP($D94,Role!$A$2:$O$9,14,0)),0)</f>
        <v>7</v>
      </c>
      <c r="W94" s="2">
        <f>MAX(1,INT(((MIN($I94:$J94)+(MAX($I94:$J94)*$G94*VLOOKUP($D94,Role!$A$2:$O$9,15,0))))*VLOOKUP($F94,Movement!$A$2:$C$7,3,0)))</f>
        <v>36</v>
      </c>
      <c r="Y94" s="2">
        <f t="shared" si="16"/>
        <v>6</v>
      </c>
      <c r="Z94" s="2">
        <f t="shared" si="17"/>
        <v>0</v>
      </c>
      <c r="AA94" s="2">
        <f t="shared" si="18"/>
        <v>4</v>
      </c>
      <c r="AB94" s="2">
        <f t="shared" si="19"/>
        <v>0</v>
      </c>
    </row>
    <row r="95" spans="2:28" ht="12.75">
      <c r="B95" s="2">
        <v>4</v>
      </c>
      <c r="C95" s="1" t="s">
        <v>44</v>
      </c>
      <c r="D95" s="1" t="s">
        <v>34</v>
      </c>
      <c r="E95" s="1" t="s">
        <v>36</v>
      </c>
      <c r="F95" s="1" t="s">
        <v>49</v>
      </c>
      <c r="G95" s="3">
        <f>VLOOKUP($C95,Size!$A$2:$F$13,6,0)</f>
        <v>5</v>
      </c>
      <c r="I95" s="3">
        <f>INT(VLOOKUP($C95,Size!$A$2:$Z$13,16,0)*$B95/3)</f>
        <v>6</v>
      </c>
      <c r="J95" s="3">
        <f>INT(($B95*VLOOKUP($E95,Type!$A$2:$U$15,12,0))+((VLOOKUP($E95,Type!$A$2:$U$15,13,0)-VLOOKUP($E95,Type!$A$2:$U$15,12,0))*VLOOKUP($C95,Size!$A$2:$Z$13,17,0)*$B95))</f>
        <v>4</v>
      </c>
      <c r="K95" s="3">
        <f>INT(($B95*VLOOKUP($E95,Type!$A$2:$U$15,8,0))+((VLOOKUP($E95,Type!$A$2:$U$15,9,0)-VLOOKUP($E95,Type!$A$2:$U$15,8,0))*VLOOKUP($D95,Role!$A$2:$O$9,10,0)*$B95))</f>
        <v>2</v>
      </c>
      <c r="L95" s="3">
        <f>INT(($B95*VLOOKUP($E95,Type!$A$2:$U$15,4,0))+((VLOOKUP($E95,Type!$A$2:$U$15,5,0)-VLOOKUP($E95,Type!$A$2:$U$15,4,0))*$B95))</f>
        <v>3</v>
      </c>
      <c r="M95" s="3">
        <f>INT($B95*VLOOKUP($D95,Role!$A$2:$O$9,10,0)*VLOOKUP($D95,Role!$A$2:$O$9,11,0))</f>
        <v>4</v>
      </c>
      <c r="N95" s="3">
        <f>INT(($B95*VLOOKUP($E95,Type!$A$2:$U$15,20,0))+((VLOOKUP($E95,Type!$A$2:$U$15,21,0)-VLOOKUP($E95,Type!$A$2:$U$15,20,0))*$B95))</f>
        <v>1</v>
      </c>
      <c r="P95" s="3">
        <f>INT(VLOOKUP($D95,Role!$A$2:$O$9,8,0)*$B95)</f>
        <v>4</v>
      </c>
      <c r="Q95" s="3">
        <f>INT(VLOOKUP($D95,Role!$A$2:$O$9,9,0)*$B95)</f>
        <v>4</v>
      </c>
      <c r="R95" s="3">
        <f>INT(VLOOKUP($C95,Size!$A$2:$Z$13,18,0)*VLOOKUP($D95,Role!$A$2:$O$9,13,0)*$B95/2)</f>
        <v>62</v>
      </c>
      <c r="S95" s="3">
        <f>INT((10+$M95)*VLOOKUP($D95,Role!$A$2:$O$9,14,0))</f>
        <v>14</v>
      </c>
      <c r="T95" s="3">
        <f>INT($I95*VLOOKUP($D95,Role!$A$2:$O$9,12,0))</f>
        <v>6</v>
      </c>
      <c r="V95" s="2">
        <f>ROUND(MAX($J95,$L95)+(MIN($J95,$L95)*VLOOKUP($D95,Role!$A$2:$O$9,14,0)),0)</f>
        <v>7</v>
      </c>
      <c r="W95" s="2">
        <f>MAX(1,INT(((MIN($I95:$J95)+(MAX($I95:$J95)*$G95*VLOOKUP($D95,Role!$A$2:$O$9,15,0))))*VLOOKUP($F95,Movement!$A$2:$C$7,3,0)))</f>
        <v>51</v>
      </c>
      <c r="Y95" s="2">
        <f t="shared" si="16"/>
        <v>6</v>
      </c>
      <c r="Z95" s="2">
        <f t="shared" si="17"/>
        <v>0</v>
      </c>
      <c r="AA95" s="2">
        <f t="shared" si="18"/>
        <v>4</v>
      </c>
      <c r="AB95" s="2">
        <f t="shared" si="19"/>
        <v>0</v>
      </c>
    </row>
    <row r="96" spans="2:28" ht="12.75">
      <c r="B96" s="2">
        <v>4</v>
      </c>
      <c r="C96" s="1" t="s">
        <v>45</v>
      </c>
      <c r="D96" s="1" t="s">
        <v>34</v>
      </c>
      <c r="E96" s="1" t="s">
        <v>36</v>
      </c>
      <c r="F96" s="1" t="s">
        <v>49</v>
      </c>
      <c r="G96" s="3">
        <f>VLOOKUP($C96,Size!$A$2:$F$13,6,0)</f>
        <v>6</v>
      </c>
      <c r="I96" s="3">
        <f>INT(VLOOKUP($C96,Size!$A$2:$Z$13,16,0)*$B96/3)</f>
        <v>6</v>
      </c>
      <c r="J96" s="3">
        <f>INT(($B96*VLOOKUP($E96,Type!$A$2:$U$15,12,0))+((VLOOKUP($E96,Type!$A$2:$U$15,13,0)-VLOOKUP($E96,Type!$A$2:$U$15,12,0))*VLOOKUP($C96,Size!$A$2:$Z$13,17,0)*$B96))</f>
        <v>4</v>
      </c>
      <c r="K96" s="3">
        <f>INT(($B96*VLOOKUP($E96,Type!$A$2:$U$15,8,0))+((VLOOKUP($E96,Type!$A$2:$U$15,9,0)-VLOOKUP($E96,Type!$A$2:$U$15,8,0))*VLOOKUP($D96,Role!$A$2:$O$9,10,0)*$B96))</f>
        <v>2</v>
      </c>
      <c r="L96" s="3">
        <f>INT(($B96*VLOOKUP($E96,Type!$A$2:$U$15,4,0))+((VLOOKUP($E96,Type!$A$2:$U$15,5,0)-VLOOKUP($E96,Type!$A$2:$U$15,4,0))*$B96))</f>
        <v>3</v>
      </c>
      <c r="M96" s="3">
        <f>INT($B96*VLOOKUP($D96,Role!$A$2:$O$9,10,0)*VLOOKUP($D96,Role!$A$2:$O$9,11,0))</f>
        <v>4</v>
      </c>
      <c r="N96" s="3">
        <f>INT(($B96*VLOOKUP($E96,Type!$A$2:$U$15,20,0))+((VLOOKUP($E96,Type!$A$2:$U$15,21,0)-VLOOKUP($E96,Type!$A$2:$U$15,20,0))*$B96))</f>
        <v>1</v>
      </c>
      <c r="P96" s="3">
        <f>INT(VLOOKUP($D96,Role!$A$2:$O$9,8,0)*$B96)</f>
        <v>4</v>
      </c>
      <c r="Q96" s="3">
        <f>INT(VLOOKUP($D96,Role!$A$2:$O$9,9,0)*$B96)</f>
        <v>4</v>
      </c>
      <c r="R96" s="3">
        <f>INT(VLOOKUP($C96,Size!$A$2:$Z$13,18,0)*VLOOKUP($D96,Role!$A$2:$O$9,13,0)*$B96/2)</f>
        <v>77</v>
      </c>
      <c r="S96" s="3">
        <f>INT((10+$M96)*VLOOKUP($D96,Role!$A$2:$O$9,14,0))</f>
        <v>14</v>
      </c>
      <c r="T96" s="3">
        <f>INT($I96*VLOOKUP($D96,Role!$A$2:$O$9,12,0))</f>
        <v>6</v>
      </c>
      <c r="V96" s="2">
        <f>ROUND(MAX($J96,$L96)+(MIN($J96,$L96)*VLOOKUP($D96,Role!$A$2:$O$9,14,0)),0)</f>
        <v>7</v>
      </c>
      <c r="W96" s="2">
        <f>MAX(1,INT(((MIN($I96:$J96)+(MAX($I96:$J96)*$G96*VLOOKUP($D96,Role!$A$2:$O$9,15,0))))*VLOOKUP($F96,Movement!$A$2:$C$7,3,0)))</f>
        <v>60</v>
      </c>
      <c r="Y96" s="2">
        <f t="shared" si="16"/>
        <v>6</v>
      </c>
      <c r="Z96" s="2">
        <f t="shared" si="17"/>
        <v>0</v>
      </c>
      <c r="AA96" s="2">
        <f t="shared" si="18"/>
        <v>3</v>
      </c>
      <c r="AB96" s="2">
        <f t="shared" si="19"/>
        <v>1</v>
      </c>
    </row>
    <row r="97" spans="2:28" ht="12.75">
      <c r="B97" s="2">
        <v>4</v>
      </c>
      <c r="C97" s="1" t="s">
        <v>46</v>
      </c>
      <c r="D97" s="1" t="s">
        <v>34</v>
      </c>
      <c r="E97" s="1" t="s">
        <v>36</v>
      </c>
      <c r="F97" s="1" t="s">
        <v>49</v>
      </c>
      <c r="G97" s="3">
        <f>VLOOKUP($C97,Size!$A$2:$F$13,6,0)</f>
        <v>7</v>
      </c>
      <c r="I97" s="3">
        <f>INT(VLOOKUP($C97,Size!$A$2:$Z$13,16,0)*$B97/3)</f>
        <v>6</v>
      </c>
      <c r="J97" s="3">
        <f>INT(($B97*VLOOKUP($E97,Type!$A$2:$U$15,12,0))+((VLOOKUP($E97,Type!$A$2:$U$15,13,0)-VLOOKUP($E97,Type!$A$2:$U$15,12,0))*VLOOKUP($C97,Size!$A$2:$Z$13,17,0)*$B97))</f>
        <v>4</v>
      </c>
      <c r="K97" s="3">
        <f>INT(($B97*VLOOKUP($E97,Type!$A$2:$U$15,8,0))+((VLOOKUP($E97,Type!$A$2:$U$15,9,0)-VLOOKUP($E97,Type!$A$2:$U$15,8,0))*VLOOKUP($D97,Role!$A$2:$O$9,10,0)*$B97))</f>
        <v>2</v>
      </c>
      <c r="L97" s="3">
        <f>INT(($B97*VLOOKUP($E97,Type!$A$2:$U$15,4,0))+((VLOOKUP($E97,Type!$A$2:$U$15,5,0)-VLOOKUP($E97,Type!$A$2:$U$15,4,0))*$B97))</f>
        <v>3</v>
      </c>
      <c r="M97" s="3">
        <f>INT($B97*VLOOKUP($D97,Role!$A$2:$O$9,10,0)*VLOOKUP($D97,Role!$A$2:$O$9,11,0))</f>
        <v>4</v>
      </c>
      <c r="N97" s="3">
        <f>INT(($B97*VLOOKUP($E97,Type!$A$2:$U$15,20,0))+((VLOOKUP($E97,Type!$A$2:$U$15,21,0)-VLOOKUP($E97,Type!$A$2:$U$15,20,0))*$B97))</f>
        <v>1</v>
      </c>
      <c r="P97" s="3">
        <f>INT(VLOOKUP($D97,Role!$A$2:$O$9,8,0)*$B97)</f>
        <v>4</v>
      </c>
      <c r="Q97" s="3">
        <f>INT(VLOOKUP($D97,Role!$A$2:$O$9,9,0)*$B97)</f>
        <v>4</v>
      </c>
      <c r="R97" s="3">
        <f>INT(VLOOKUP($C97,Size!$A$2:$Z$13,18,0)*VLOOKUP($D97,Role!$A$2:$O$9,13,0)*$B97/2)</f>
        <v>92</v>
      </c>
      <c r="S97" s="3">
        <f>INT((10+$M97)*VLOOKUP($D97,Role!$A$2:$O$9,14,0))</f>
        <v>14</v>
      </c>
      <c r="T97" s="3">
        <f>INT($I97*VLOOKUP($D97,Role!$A$2:$O$9,12,0))</f>
        <v>6</v>
      </c>
      <c r="V97" s="2">
        <f>ROUND(MAX($J97,$L97)+(MIN($J97,$L97)*VLOOKUP($D97,Role!$A$2:$O$9,14,0)),0)</f>
        <v>7</v>
      </c>
      <c r="W97" s="2">
        <f>MAX(1,INT(((MIN($I97:$J97)+(MAX($I97:$J97)*$G97*VLOOKUP($D97,Role!$A$2:$O$9,15,0))))*VLOOKUP($F97,Movement!$A$2:$C$7,3,0)))</f>
        <v>69</v>
      </c>
      <c r="Y97" s="2">
        <f t="shared" si="16"/>
        <v>7</v>
      </c>
      <c r="Z97" s="2">
        <f t="shared" si="17"/>
        <v>0</v>
      </c>
      <c r="AA97" s="2">
        <f t="shared" si="18"/>
        <v>3</v>
      </c>
      <c r="AB97" s="2">
        <f t="shared" si="19"/>
        <v>1</v>
      </c>
    </row>
    <row r="99" spans="2:28" ht="12.75">
      <c r="B99" s="2">
        <v>5</v>
      </c>
      <c r="C99" s="1" t="s">
        <v>37</v>
      </c>
      <c r="D99" s="1" t="s">
        <v>34</v>
      </c>
      <c r="E99" s="1" t="s">
        <v>36</v>
      </c>
      <c r="F99" s="1" t="s">
        <v>49</v>
      </c>
      <c r="G99" s="3">
        <f>VLOOKUP($C99,Size!$A$2:$F$13,6,0)</f>
        <v>-3</v>
      </c>
      <c r="I99" s="3">
        <f>INT(VLOOKUP($C99,Size!$A$2:$Z$13,16,0)*$B99/3)</f>
        <v>1</v>
      </c>
      <c r="J99" s="3">
        <f>INT(($B99*VLOOKUP($E99,Type!$A$2:$U$15,12,0))+((VLOOKUP($E99,Type!$A$2:$U$15,13,0)-VLOOKUP($E99,Type!$A$2:$U$15,12,0))*VLOOKUP($C99,Size!$A$2:$Z$13,17,0)*$B99))</f>
        <v>7</v>
      </c>
      <c r="K99" s="3">
        <f>INT(($B99*VLOOKUP($E99,Type!$A$2:$U$15,8,0))+((VLOOKUP($E99,Type!$A$2:$U$15,9,0)-VLOOKUP($E99,Type!$A$2:$U$15,8,0))*VLOOKUP($D99,Role!$A$2:$O$9,10,0)*$B99))</f>
        <v>2</v>
      </c>
      <c r="L99" s="3">
        <f>INT(($B99*VLOOKUP($E99,Type!$A$2:$U$15,4,0))+((VLOOKUP($E99,Type!$A$2:$U$15,5,0)-VLOOKUP($E99,Type!$A$2:$U$15,4,0))*$B99))</f>
        <v>3</v>
      </c>
      <c r="M99" s="3">
        <f>INT($B99*VLOOKUP($D99,Role!$A$2:$O$9,10,0)*VLOOKUP($D99,Role!$A$2:$O$9,11,0))</f>
        <v>5</v>
      </c>
      <c r="N99" s="3">
        <f>INT(($B99*VLOOKUP($E99,Type!$A$2:$U$15,20,0))+((VLOOKUP($E99,Type!$A$2:$U$15,21,0)-VLOOKUP($E99,Type!$A$2:$U$15,20,0))*$B99))</f>
        <v>1</v>
      </c>
      <c r="P99" s="3">
        <f>INT(VLOOKUP($D99,Role!$A$2:$O$9,8,0)*$B99)</f>
        <v>5</v>
      </c>
      <c r="Q99" s="3">
        <f>INT(VLOOKUP($D99,Role!$A$2:$O$9,9,0)*$B99)</f>
        <v>5</v>
      </c>
      <c r="R99" s="3">
        <f>INT(VLOOKUP($C99,Size!$A$2:$Z$13,18,0)*VLOOKUP($D99,Role!$A$2:$O$9,13,0)*$B99/2)</f>
        <v>6</v>
      </c>
      <c r="S99" s="3">
        <f>INT((10+$M99)*VLOOKUP($D99,Role!$A$2:$O$9,14,0))</f>
        <v>15</v>
      </c>
      <c r="T99" s="3">
        <f>INT($I99*VLOOKUP($D99,Role!$A$2:$O$9,12,0))</f>
        <v>1</v>
      </c>
      <c r="V99" s="2">
        <f>ROUND(MAX($J99,$L99)+(MIN($J99,$L99)*VLOOKUP($D99,Role!$A$2:$O$9,14,0)),0)</f>
        <v>10</v>
      </c>
      <c r="W99" s="2">
        <f>MAX(1,INT(((MIN($I99:$J99)+(MAX($I99:$J99)*$G99*VLOOKUP($D99,Role!$A$2:$O$9,15,0))))*VLOOKUP($F99,Movement!$A$2:$C$7,3,0)))</f>
        <v>1</v>
      </c>
      <c r="Y99" s="2">
        <f aca="true" t="shared" si="20" ref="Y99:Y109">INT(5+(($G99-1)/3))</f>
        <v>3</v>
      </c>
      <c r="Z99" s="2">
        <f aca="true" t="shared" si="21" ref="Z99:Z109">IF($Y99&lt;$I99,$I99-$Y99,0)</f>
        <v>0</v>
      </c>
      <c r="AA99" s="2">
        <f aca="true" t="shared" si="22" ref="AA99:AA109">(5-ROUND(($G99-1)/3,0))</f>
        <v>6</v>
      </c>
      <c r="AB99" s="2">
        <f aca="true" t="shared" si="23" ref="AB99:AB109">IF($AA99&lt;$J99,$J99-$AA99,0)</f>
        <v>1</v>
      </c>
    </row>
    <row r="100" spans="2:28" ht="12.75">
      <c r="B100" s="2">
        <v>5</v>
      </c>
      <c r="C100" s="1" t="s">
        <v>38</v>
      </c>
      <c r="D100" s="1" t="s">
        <v>34</v>
      </c>
      <c r="E100" s="1" t="s">
        <v>36</v>
      </c>
      <c r="F100" s="1" t="s">
        <v>49</v>
      </c>
      <c r="G100" s="3">
        <f>VLOOKUP($C100,Size!$A$2:$F$13,6,0)</f>
        <v>-2</v>
      </c>
      <c r="I100" s="3">
        <f>INT(VLOOKUP($C100,Size!$A$2:$Z$13,16,0)*$B100/3)</f>
        <v>3</v>
      </c>
      <c r="J100" s="3">
        <f>INT(($B100*VLOOKUP($E100,Type!$A$2:$U$15,12,0))+((VLOOKUP($E100,Type!$A$2:$U$15,13,0)-VLOOKUP($E100,Type!$A$2:$U$15,12,0))*VLOOKUP($C100,Size!$A$2:$Z$13,17,0)*$B100))</f>
        <v>6</v>
      </c>
      <c r="K100" s="3">
        <f>INT(($B100*VLOOKUP($E100,Type!$A$2:$U$15,8,0))+((VLOOKUP($E100,Type!$A$2:$U$15,9,0)-VLOOKUP($E100,Type!$A$2:$U$15,8,0))*VLOOKUP($D100,Role!$A$2:$O$9,10,0)*$B100))</f>
        <v>2</v>
      </c>
      <c r="L100" s="3">
        <f>INT(($B100*VLOOKUP($E100,Type!$A$2:$U$15,4,0))+((VLOOKUP($E100,Type!$A$2:$U$15,5,0)-VLOOKUP($E100,Type!$A$2:$U$15,4,0))*$B100))</f>
        <v>3</v>
      </c>
      <c r="M100" s="3">
        <f>INT($B100*VLOOKUP($D100,Role!$A$2:$O$9,10,0)*VLOOKUP($D100,Role!$A$2:$O$9,11,0))</f>
        <v>5</v>
      </c>
      <c r="N100" s="3">
        <f>INT(($B100*VLOOKUP($E100,Type!$A$2:$U$15,20,0))+((VLOOKUP($E100,Type!$A$2:$U$15,21,0)-VLOOKUP($E100,Type!$A$2:$U$15,20,0))*$B100))</f>
        <v>1</v>
      </c>
      <c r="P100" s="3">
        <f>INT(VLOOKUP($D100,Role!$A$2:$O$9,8,0)*$B100)</f>
        <v>5</v>
      </c>
      <c r="Q100" s="3">
        <f>INT(VLOOKUP($D100,Role!$A$2:$O$9,9,0)*$B100)</f>
        <v>5</v>
      </c>
      <c r="R100" s="3">
        <f>INT(VLOOKUP($C100,Size!$A$2:$Z$13,18,0)*VLOOKUP($D100,Role!$A$2:$O$9,13,0)*$B100/2)</f>
        <v>16</v>
      </c>
      <c r="S100" s="3">
        <f>INT((10+$M100)*VLOOKUP($D100,Role!$A$2:$O$9,14,0))</f>
        <v>15</v>
      </c>
      <c r="T100" s="3">
        <f>INT($I100*VLOOKUP($D100,Role!$A$2:$O$9,12,0))</f>
        <v>3</v>
      </c>
      <c r="V100" s="2">
        <f>ROUND(MAX($J100,$L100)+(MIN($J100,$L100)*VLOOKUP($D100,Role!$A$2:$O$9,14,0)),0)</f>
        <v>9</v>
      </c>
      <c r="W100" s="2">
        <f>MAX(1,INT(((MIN($I100:$J100)+(MAX($I100:$J100)*$G100*VLOOKUP($D100,Role!$A$2:$O$9,15,0))))*VLOOKUP($F100,Movement!$A$2:$C$7,3,0)))</f>
        <v>1</v>
      </c>
      <c r="Y100" s="2">
        <f t="shared" si="20"/>
        <v>4</v>
      </c>
      <c r="Z100" s="2">
        <f t="shared" si="21"/>
        <v>0</v>
      </c>
      <c r="AA100" s="2">
        <f t="shared" si="22"/>
        <v>6</v>
      </c>
      <c r="AB100" s="2">
        <f t="shared" si="23"/>
        <v>0</v>
      </c>
    </row>
    <row r="101" spans="2:28" ht="12.75">
      <c r="B101" s="2">
        <v>5</v>
      </c>
      <c r="C101" s="1" t="s">
        <v>39</v>
      </c>
      <c r="D101" s="1" t="s">
        <v>34</v>
      </c>
      <c r="E101" s="1" t="s">
        <v>36</v>
      </c>
      <c r="F101" s="1" t="s">
        <v>49</v>
      </c>
      <c r="G101" s="3">
        <f>VLOOKUP($C101,Size!$A$2:$F$13,6,0)</f>
        <v>-1</v>
      </c>
      <c r="I101" s="3">
        <f>INT(VLOOKUP($C101,Size!$A$2:$Z$13,16,0)*$B101/3)</f>
        <v>3</v>
      </c>
      <c r="J101" s="3">
        <f>INT(($B101*VLOOKUP($E101,Type!$A$2:$U$15,12,0))+((VLOOKUP($E101,Type!$A$2:$U$15,13,0)-VLOOKUP($E101,Type!$A$2:$U$15,12,0))*VLOOKUP($C101,Size!$A$2:$Z$13,17,0)*$B101))</f>
        <v>6</v>
      </c>
      <c r="K101" s="3">
        <f>INT(($B101*VLOOKUP($E101,Type!$A$2:$U$15,8,0))+((VLOOKUP($E101,Type!$A$2:$U$15,9,0)-VLOOKUP($E101,Type!$A$2:$U$15,8,0))*VLOOKUP($D101,Role!$A$2:$O$9,10,0)*$B101))</f>
        <v>2</v>
      </c>
      <c r="L101" s="3">
        <f>INT(($B101*VLOOKUP($E101,Type!$A$2:$U$15,4,0))+((VLOOKUP($E101,Type!$A$2:$U$15,5,0)-VLOOKUP($E101,Type!$A$2:$U$15,4,0))*$B101))</f>
        <v>3</v>
      </c>
      <c r="M101" s="3">
        <f>INT($B101*VLOOKUP($D101,Role!$A$2:$O$9,10,0)*VLOOKUP($D101,Role!$A$2:$O$9,11,0))</f>
        <v>5</v>
      </c>
      <c r="N101" s="3">
        <f>INT(($B101*VLOOKUP($E101,Type!$A$2:$U$15,20,0))+((VLOOKUP($E101,Type!$A$2:$U$15,21,0)-VLOOKUP($E101,Type!$A$2:$U$15,20,0))*$B101))</f>
        <v>1</v>
      </c>
      <c r="P101" s="3">
        <f>INT(VLOOKUP($D101,Role!$A$2:$O$9,8,0)*$B101)</f>
        <v>5</v>
      </c>
      <c r="Q101" s="3">
        <f>INT(VLOOKUP($D101,Role!$A$2:$O$9,9,0)*$B101)</f>
        <v>5</v>
      </c>
      <c r="R101" s="3">
        <f>INT(VLOOKUP($C101,Size!$A$2:$Z$13,18,0)*VLOOKUP($D101,Role!$A$2:$O$9,13,0)*$B101/2)</f>
        <v>20</v>
      </c>
      <c r="S101" s="3">
        <f>INT((10+$M101)*VLOOKUP($D101,Role!$A$2:$O$9,14,0))</f>
        <v>15</v>
      </c>
      <c r="T101" s="3">
        <f>INT($I101*VLOOKUP($D101,Role!$A$2:$O$9,12,0))</f>
        <v>3</v>
      </c>
      <c r="V101" s="2">
        <f>ROUND(MAX($J101,$L101)+(MIN($J101,$L101)*VLOOKUP($D101,Role!$A$2:$O$9,14,0)),0)</f>
        <v>9</v>
      </c>
      <c r="W101" s="2">
        <f>MAX(1,INT(((MIN($I101:$J101)+(MAX($I101:$J101)*$G101*VLOOKUP($D101,Role!$A$2:$O$9,15,0))))*VLOOKUP($F101,Movement!$A$2:$C$7,3,0)))</f>
        <v>1</v>
      </c>
      <c r="Y101" s="2">
        <f t="shared" si="20"/>
        <v>4</v>
      </c>
      <c r="Z101" s="2">
        <f t="shared" si="21"/>
        <v>0</v>
      </c>
      <c r="AA101" s="2">
        <f t="shared" si="22"/>
        <v>6</v>
      </c>
      <c r="AB101" s="2">
        <f t="shared" si="23"/>
        <v>0</v>
      </c>
    </row>
    <row r="102" spans="2:28" ht="12.75">
      <c r="B102" s="2">
        <v>5</v>
      </c>
      <c r="C102" s="1" t="s">
        <v>40</v>
      </c>
      <c r="D102" s="1" t="s">
        <v>34</v>
      </c>
      <c r="E102" s="1" t="s">
        <v>36</v>
      </c>
      <c r="F102" s="1" t="s">
        <v>49</v>
      </c>
      <c r="G102" s="3">
        <f>VLOOKUP($C102,Size!$A$2:$F$13,6,0)</f>
        <v>0</v>
      </c>
      <c r="I102" s="3">
        <f>INT(VLOOKUP($C102,Size!$A$2:$Z$13,16,0)*$B102/3)</f>
        <v>3</v>
      </c>
      <c r="J102" s="3">
        <f>INT(($B102*VLOOKUP($E102,Type!$A$2:$U$15,12,0))+((VLOOKUP($E102,Type!$A$2:$U$15,13,0)-VLOOKUP($E102,Type!$A$2:$U$15,12,0))*VLOOKUP($C102,Size!$A$2:$Z$13,17,0)*$B102))</f>
        <v>6</v>
      </c>
      <c r="K102" s="3">
        <f>INT(($B102*VLOOKUP($E102,Type!$A$2:$U$15,8,0))+((VLOOKUP($E102,Type!$A$2:$U$15,9,0)-VLOOKUP($E102,Type!$A$2:$U$15,8,0))*VLOOKUP($D102,Role!$A$2:$O$9,10,0)*$B102))</f>
        <v>2</v>
      </c>
      <c r="L102" s="3">
        <f>INT(($B102*VLOOKUP($E102,Type!$A$2:$U$15,4,0))+((VLOOKUP($E102,Type!$A$2:$U$15,5,0)-VLOOKUP($E102,Type!$A$2:$U$15,4,0))*$B102))</f>
        <v>3</v>
      </c>
      <c r="M102" s="3">
        <f>INT($B102*VLOOKUP($D102,Role!$A$2:$O$9,10,0)*VLOOKUP($D102,Role!$A$2:$O$9,11,0))</f>
        <v>5</v>
      </c>
      <c r="N102" s="3">
        <f>INT(($B102*VLOOKUP($E102,Type!$A$2:$U$15,20,0))+((VLOOKUP($E102,Type!$A$2:$U$15,21,0)-VLOOKUP($E102,Type!$A$2:$U$15,20,0))*$B102))</f>
        <v>1</v>
      </c>
      <c r="P102" s="3">
        <f>INT(VLOOKUP($D102,Role!$A$2:$O$9,8,0)*$B102)</f>
        <v>5</v>
      </c>
      <c r="Q102" s="3">
        <f>INT(VLOOKUP($D102,Role!$A$2:$O$9,9,0)*$B102)</f>
        <v>5</v>
      </c>
      <c r="R102" s="3">
        <f>INT(VLOOKUP($C102,Size!$A$2:$Z$13,18,0)*VLOOKUP($D102,Role!$A$2:$O$9,13,0)*$B102/2)</f>
        <v>25</v>
      </c>
      <c r="S102" s="3">
        <f>INT((10+$M102)*VLOOKUP($D102,Role!$A$2:$O$9,14,0))</f>
        <v>15</v>
      </c>
      <c r="T102" s="3">
        <f>INT($I102*VLOOKUP($D102,Role!$A$2:$O$9,12,0))</f>
        <v>3</v>
      </c>
      <c r="V102" s="2">
        <f>ROUND(MAX($J102,$L102)+(MIN($J102,$L102)*VLOOKUP($D102,Role!$A$2:$O$9,14,0)),0)</f>
        <v>9</v>
      </c>
      <c r="W102" s="2">
        <f>MAX(1,INT(((MIN($I102:$J102)+(MAX($I102:$J102)*$G102*VLOOKUP($D102,Role!$A$2:$O$9,15,0))))*VLOOKUP($F102,Movement!$A$2:$C$7,3,0)))</f>
        <v>4</v>
      </c>
      <c r="Y102" s="2">
        <f t="shared" si="20"/>
        <v>4</v>
      </c>
      <c r="Z102" s="2">
        <f t="shared" si="21"/>
        <v>0</v>
      </c>
      <c r="AA102" s="2">
        <f t="shared" si="22"/>
        <v>5</v>
      </c>
      <c r="AB102" s="2">
        <f t="shared" si="23"/>
        <v>1</v>
      </c>
    </row>
    <row r="103" spans="2:28" ht="12.75">
      <c r="B103" s="2">
        <v>5</v>
      </c>
      <c r="C103" s="1" t="s">
        <v>24</v>
      </c>
      <c r="D103" s="1" t="s">
        <v>34</v>
      </c>
      <c r="E103" s="1" t="s">
        <v>36</v>
      </c>
      <c r="F103" s="1" t="s">
        <v>49</v>
      </c>
      <c r="G103" s="3">
        <f>VLOOKUP($C103,Size!$A$2:$F$13,6,0)</f>
        <v>1</v>
      </c>
      <c r="I103" s="3">
        <f>INT(VLOOKUP($C103,Size!$A$2:$Z$13,16,0)*$B103/3)</f>
        <v>5</v>
      </c>
      <c r="J103" s="3">
        <f>INT(($B103*VLOOKUP($E103,Type!$A$2:$U$15,12,0))+((VLOOKUP($E103,Type!$A$2:$U$15,13,0)-VLOOKUP($E103,Type!$A$2:$U$15,12,0))*VLOOKUP($C103,Size!$A$2:$Z$13,17,0)*$B103))</f>
        <v>6</v>
      </c>
      <c r="K103" s="3">
        <f>INT(($B103*VLOOKUP($E103,Type!$A$2:$U$15,8,0))+((VLOOKUP($E103,Type!$A$2:$U$15,9,0)-VLOOKUP($E103,Type!$A$2:$U$15,8,0))*VLOOKUP($D103,Role!$A$2:$O$9,10,0)*$B103))</f>
        <v>2</v>
      </c>
      <c r="L103" s="3">
        <f>INT(($B103*VLOOKUP($E103,Type!$A$2:$U$15,4,0))+((VLOOKUP($E103,Type!$A$2:$U$15,5,0)-VLOOKUP($E103,Type!$A$2:$U$15,4,0))*$B103))</f>
        <v>3</v>
      </c>
      <c r="M103" s="3">
        <f>INT($B103*VLOOKUP($D103,Role!$A$2:$O$9,10,0)*VLOOKUP($D103,Role!$A$2:$O$9,11,0))</f>
        <v>5</v>
      </c>
      <c r="N103" s="3">
        <f>INT(($B103*VLOOKUP($E103,Type!$A$2:$U$15,20,0))+((VLOOKUP($E103,Type!$A$2:$U$15,21,0)-VLOOKUP($E103,Type!$A$2:$U$15,20,0))*$B103))</f>
        <v>1</v>
      </c>
      <c r="P103" s="3">
        <f>INT(VLOOKUP($D103,Role!$A$2:$O$9,8,0)*$B103)</f>
        <v>5</v>
      </c>
      <c r="Q103" s="3">
        <f>INT(VLOOKUP($D103,Role!$A$2:$O$9,9,0)*$B103)</f>
        <v>5</v>
      </c>
      <c r="R103" s="3">
        <f>INT(VLOOKUP($C103,Size!$A$2:$Z$13,18,0)*VLOOKUP($D103,Role!$A$2:$O$9,13,0)*$B103/2)</f>
        <v>32</v>
      </c>
      <c r="S103" s="3">
        <f>INT((10+$M103)*VLOOKUP($D103,Role!$A$2:$O$9,14,0))</f>
        <v>15</v>
      </c>
      <c r="T103" s="3">
        <f>INT($I103*VLOOKUP($D103,Role!$A$2:$O$9,12,0))</f>
        <v>5</v>
      </c>
      <c r="V103" s="2">
        <f>ROUND(MAX($J103,$L103)+(MIN($J103,$L103)*VLOOKUP($D103,Role!$A$2:$O$9,14,0)),0)</f>
        <v>9</v>
      </c>
      <c r="W103" s="2">
        <f>MAX(1,INT(((MIN($I103:$J103)+(MAX($I103:$J103)*$G103*VLOOKUP($D103,Role!$A$2:$O$9,15,0))))*VLOOKUP($F103,Movement!$A$2:$C$7,3,0)))</f>
        <v>16</v>
      </c>
      <c r="Y103" s="2">
        <f t="shared" si="20"/>
        <v>5</v>
      </c>
      <c r="Z103" s="2">
        <f t="shared" si="21"/>
        <v>0</v>
      </c>
      <c r="AA103" s="2">
        <f t="shared" si="22"/>
        <v>5</v>
      </c>
      <c r="AB103" s="2">
        <f t="shared" si="23"/>
        <v>1</v>
      </c>
    </row>
    <row r="104" spans="2:28" ht="12.75">
      <c r="B104" s="2">
        <v>5</v>
      </c>
      <c r="C104" s="1" t="s">
        <v>41</v>
      </c>
      <c r="D104" s="1" t="s">
        <v>34</v>
      </c>
      <c r="E104" s="1" t="s">
        <v>36</v>
      </c>
      <c r="F104" s="1" t="s">
        <v>49</v>
      </c>
      <c r="G104" s="3">
        <f>VLOOKUP($C104,Size!$A$2:$F$13,6,0)</f>
        <v>2</v>
      </c>
      <c r="I104" s="3">
        <f>INT(VLOOKUP($C104,Size!$A$2:$Z$13,16,0)*$B104/3)</f>
        <v>5</v>
      </c>
      <c r="J104" s="3">
        <f>INT(($B104*VLOOKUP($E104,Type!$A$2:$U$15,12,0))+((VLOOKUP($E104,Type!$A$2:$U$15,13,0)-VLOOKUP($E104,Type!$A$2:$U$15,12,0))*VLOOKUP($C104,Size!$A$2:$Z$13,17,0)*$B104))</f>
        <v>6</v>
      </c>
      <c r="K104" s="3">
        <f>INT(($B104*VLOOKUP($E104,Type!$A$2:$U$15,8,0))+((VLOOKUP($E104,Type!$A$2:$U$15,9,0)-VLOOKUP($E104,Type!$A$2:$U$15,8,0))*VLOOKUP($D104,Role!$A$2:$O$9,10,0)*$B104))</f>
        <v>2</v>
      </c>
      <c r="L104" s="3">
        <f>INT(($B104*VLOOKUP($E104,Type!$A$2:$U$15,4,0))+((VLOOKUP($E104,Type!$A$2:$U$15,5,0)-VLOOKUP($E104,Type!$A$2:$U$15,4,0))*$B104))</f>
        <v>3</v>
      </c>
      <c r="M104" s="3">
        <f>INT($B104*VLOOKUP($D104,Role!$A$2:$O$9,10,0)*VLOOKUP($D104,Role!$A$2:$O$9,11,0))</f>
        <v>5</v>
      </c>
      <c r="N104" s="3">
        <f>INT(($B104*VLOOKUP($E104,Type!$A$2:$U$15,20,0))+((VLOOKUP($E104,Type!$A$2:$U$15,21,0)-VLOOKUP($E104,Type!$A$2:$U$15,20,0))*$B104))</f>
        <v>1</v>
      </c>
      <c r="P104" s="3">
        <f>INT(VLOOKUP($D104,Role!$A$2:$O$9,8,0)*$B104)</f>
        <v>5</v>
      </c>
      <c r="Q104" s="3">
        <f>INT(VLOOKUP($D104,Role!$A$2:$O$9,9,0)*$B104)</f>
        <v>5</v>
      </c>
      <c r="R104" s="3">
        <f>INT(VLOOKUP($C104,Size!$A$2:$Z$13,18,0)*VLOOKUP($D104,Role!$A$2:$O$9,13,0)*$B104/2)</f>
        <v>40</v>
      </c>
      <c r="S104" s="3">
        <f>INT((10+$M104)*VLOOKUP($D104,Role!$A$2:$O$9,14,0))</f>
        <v>15</v>
      </c>
      <c r="T104" s="3">
        <f>INT($I104*VLOOKUP($D104,Role!$A$2:$O$9,12,0))</f>
        <v>5</v>
      </c>
      <c r="V104" s="2">
        <f>ROUND(MAX($J104,$L104)+(MIN($J104,$L104)*VLOOKUP($D104,Role!$A$2:$O$9,14,0)),0)</f>
        <v>9</v>
      </c>
      <c r="W104" s="2">
        <f>MAX(1,INT(((MIN($I104:$J104)+(MAX($I104:$J104)*$G104*VLOOKUP($D104,Role!$A$2:$O$9,15,0))))*VLOOKUP($F104,Movement!$A$2:$C$7,3,0)))</f>
        <v>25</v>
      </c>
      <c r="Y104" s="2">
        <f t="shared" si="20"/>
        <v>5</v>
      </c>
      <c r="Z104" s="2">
        <f t="shared" si="21"/>
        <v>0</v>
      </c>
      <c r="AA104" s="2">
        <f t="shared" si="22"/>
        <v>5</v>
      </c>
      <c r="AB104" s="2">
        <f t="shared" si="23"/>
        <v>1</v>
      </c>
    </row>
    <row r="105" spans="2:28" ht="12.75">
      <c r="B105" s="2">
        <v>5</v>
      </c>
      <c r="C105" s="1" t="s">
        <v>42</v>
      </c>
      <c r="D105" s="1" t="s">
        <v>34</v>
      </c>
      <c r="E105" s="1" t="s">
        <v>36</v>
      </c>
      <c r="F105" s="1" t="s">
        <v>49</v>
      </c>
      <c r="G105" s="3">
        <f>VLOOKUP($C105,Size!$A$2:$F$13,6,0)</f>
        <v>3</v>
      </c>
      <c r="I105" s="3">
        <f>INT(VLOOKUP($C105,Size!$A$2:$Z$13,16,0)*$B105/3)</f>
        <v>6</v>
      </c>
      <c r="J105" s="3">
        <f>INT(($B105*VLOOKUP($E105,Type!$A$2:$U$15,12,0))+((VLOOKUP($E105,Type!$A$2:$U$15,13,0)-VLOOKUP($E105,Type!$A$2:$U$15,12,0))*VLOOKUP($C105,Size!$A$2:$Z$13,17,0)*$B105))</f>
        <v>5</v>
      </c>
      <c r="K105" s="3">
        <f>INT(($B105*VLOOKUP($E105,Type!$A$2:$U$15,8,0))+((VLOOKUP($E105,Type!$A$2:$U$15,9,0)-VLOOKUP($E105,Type!$A$2:$U$15,8,0))*VLOOKUP($D105,Role!$A$2:$O$9,10,0)*$B105))</f>
        <v>2</v>
      </c>
      <c r="L105" s="3">
        <f>INT(($B105*VLOOKUP($E105,Type!$A$2:$U$15,4,0))+((VLOOKUP($E105,Type!$A$2:$U$15,5,0)-VLOOKUP($E105,Type!$A$2:$U$15,4,0))*$B105))</f>
        <v>3</v>
      </c>
      <c r="M105" s="3">
        <f>INT($B105*VLOOKUP($D105,Role!$A$2:$O$9,10,0)*VLOOKUP($D105,Role!$A$2:$O$9,11,0))</f>
        <v>5</v>
      </c>
      <c r="N105" s="3">
        <f>INT(($B105*VLOOKUP($E105,Type!$A$2:$U$15,20,0))+((VLOOKUP($E105,Type!$A$2:$U$15,21,0)-VLOOKUP($E105,Type!$A$2:$U$15,20,0))*$B105))</f>
        <v>1</v>
      </c>
      <c r="P105" s="3">
        <f>INT(VLOOKUP($D105,Role!$A$2:$O$9,8,0)*$B105)</f>
        <v>5</v>
      </c>
      <c r="Q105" s="3">
        <f>INT(VLOOKUP($D105,Role!$A$2:$O$9,9,0)*$B105)</f>
        <v>5</v>
      </c>
      <c r="R105" s="3">
        <f>INT(VLOOKUP($C105,Size!$A$2:$Z$13,18,0)*VLOOKUP($D105,Role!$A$2:$O$9,13,0)*$B105/2)</f>
        <v>54</v>
      </c>
      <c r="S105" s="3">
        <f>INT((10+$M105)*VLOOKUP($D105,Role!$A$2:$O$9,14,0))</f>
        <v>15</v>
      </c>
      <c r="T105" s="3">
        <f>INT($I105*VLOOKUP($D105,Role!$A$2:$O$9,12,0))</f>
        <v>6</v>
      </c>
      <c r="V105" s="2">
        <f>ROUND(MAX($J105,$L105)+(MIN($J105,$L105)*VLOOKUP($D105,Role!$A$2:$O$9,14,0)),0)</f>
        <v>8</v>
      </c>
      <c r="W105" s="2">
        <f>MAX(1,INT(((MIN($I105:$J105)+(MAX($I105:$J105)*$G105*VLOOKUP($D105,Role!$A$2:$O$9,15,0))))*VLOOKUP($F105,Movement!$A$2:$C$7,3,0)))</f>
        <v>34</v>
      </c>
      <c r="Y105" s="2">
        <f t="shared" si="20"/>
        <v>5</v>
      </c>
      <c r="Z105" s="2">
        <f t="shared" si="21"/>
        <v>1</v>
      </c>
      <c r="AA105" s="2">
        <f t="shared" si="22"/>
        <v>4</v>
      </c>
      <c r="AB105" s="2">
        <f t="shared" si="23"/>
        <v>1</v>
      </c>
    </row>
    <row r="106" spans="2:28" ht="12.75">
      <c r="B106" s="2">
        <v>5</v>
      </c>
      <c r="C106" s="1" t="s">
        <v>43</v>
      </c>
      <c r="D106" s="1" t="s">
        <v>34</v>
      </c>
      <c r="E106" s="1" t="s">
        <v>36</v>
      </c>
      <c r="F106" s="1" t="s">
        <v>49</v>
      </c>
      <c r="G106" s="3">
        <f>VLOOKUP($C106,Size!$A$2:$F$13,6,0)</f>
        <v>4</v>
      </c>
      <c r="I106" s="3">
        <f>INT(VLOOKUP($C106,Size!$A$2:$Z$13,16,0)*$B106/3)</f>
        <v>6</v>
      </c>
      <c r="J106" s="3">
        <f>INT(($B106*VLOOKUP($E106,Type!$A$2:$U$15,12,0))+((VLOOKUP($E106,Type!$A$2:$U$15,13,0)-VLOOKUP($E106,Type!$A$2:$U$15,12,0))*VLOOKUP($C106,Size!$A$2:$Z$13,17,0)*$B106))</f>
        <v>5</v>
      </c>
      <c r="K106" s="3">
        <f>INT(($B106*VLOOKUP($E106,Type!$A$2:$U$15,8,0))+((VLOOKUP($E106,Type!$A$2:$U$15,9,0)-VLOOKUP($E106,Type!$A$2:$U$15,8,0))*VLOOKUP($D106,Role!$A$2:$O$9,10,0)*$B106))</f>
        <v>2</v>
      </c>
      <c r="L106" s="3">
        <f>INT(($B106*VLOOKUP($E106,Type!$A$2:$U$15,4,0))+((VLOOKUP($E106,Type!$A$2:$U$15,5,0)-VLOOKUP($E106,Type!$A$2:$U$15,4,0))*$B106))</f>
        <v>3</v>
      </c>
      <c r="M106" s="3">
        <f>INT($B106*VLOOKUP($D106,Role!$A$2:$O$9,10,0)*VLOOKUP($D106,Role!$A$2:$O$9,11,0))</f>
        <v>5</v>
      </c>
      <c r="N106" s="3">
        <f>INT(($B106*VLOOKUP($E106,Type!$A$2:$U$15,20,0))+((VLOOKUP($E106,Type!$A$2:$U$15,21,0)-VLOOKUP($E106,Type!$A$2:$U$15,20,0))*$B106))</f>
        <v>1</v>
      </c>
      <c r="P106" s="3">
        <f>INT(VLOOKUP($D106,Role!$A$2:$O$9,8,0)*$B106)</f>
        <v>5</v>
      </c>
      <c r="Q106" s="3">
        <f>INT(VLOOKUP($D106,Role!$A$2:$O$9,9,0)*$B106)</f>
        <v>5</v>
      </c>
      <c r="R106" s="3">
        <f>INT(VLOOKUP($C106,Size!$A$2:$Z$13,18,0)*VLOOKUP($D106,Role!$A$2:$O$9,13,0)*$B106/2)</f>
        <v>63</v>
      </c>
      <c r="S106" s="3">
        <f>INT((10+$M106)*VLOOKUP($D106,Role!$A$2:$O$9,14,0))</f>
        <v>15</v>
      </c>
      <c r="T106" s="3">
        <f>INT($I106*VLOOKUP($D106,Role!$A$2:$O$9,12,0))</f>
        <v>6</v>
      </c>
      <c r="V106" s="2">
        <f>ROUND(MAX($J106,$L106)+(MIN($J106,$L106)*VLOOKUP($D106,Role!$A$2:$O$9,14,0)),0)</f>
        <v>8</v>
      </c>
      <c r="W106" s="2">
        <f>MAX(1,INT(((MIN($I106:$J106)+(MAX($I106:$J106)*$G106*VLOOKUP($D106,Role!$A$2:$O$9,15,0))))*VLOOKUP($F106,Movement!$A$2:$C$7,3,0)))</f>
        <v>43</v>
      </c>
      <c r="Y106" s="2">
        <f t="shared" si="20"/>
        <v>6</v>
      </c>
      <c r="Z106" s="2">
        <f t="shared" si="21"/>
        <v>0</v>
      </c>
      <c r="AA106" s="2">
        <f t="shared" si="22"/>
        <v>4</v>
      </c>
      <c r="AB106" s="2">
        <f t="shared" si="23"/>
        <v>1</v>
      </c>
    </row>
    <row r="107" spans="2:28" ht="12.75">
      <c r="B107" s="2">
        <v>5</v>
      </c>
      <c r="C107" s="1" t="s">
        <v>44</v>
      </c>
      <c r="D107" s="1" t="s">
        <v>34</v>
      </c>
      <c r="E107" s="1" t="s">
        <v>36</v>
      </c>
      <c r="F107" s="1" t="s">
        <v>49</v>
      </c>
      <c r="G107" s="3">
        <f>VLOOKUP($C107,Size!$A$2:$F$13,6,0)</f>
        <v>5</v>
      </c>
      <c r="I107" s="3">
        <f>INT(VLOOKUP($C107,Size!$A$2:$Z$13,16,0)*$B107/3)</f>
        <v>8</v>
      </c>
      <c r="J107" s="3">
        <f>INT(($B107*VLOOKUP($E107,Type!$A$2:$U$15,12,0))+((VLOOKUP($E107,Type!$A$2:$U$15,13,0)-VLOOKUP($E107,Type!$A$2:$U$15,12,0))*VLOOKUP($C107,Size!$A$2:$Z$13,17,0)*$B107))</f>
        <v>5</v>
      </c>
      <c r="K107" s="3">
        <f>INT(($B107*VLOOKUP($E107,Type!$A$2:$U$15,8,0))+((VLOOKUP($E107,Type!$A$2:$U$15,9,0)-VLOOKUP($E107,Type!$A$2:$U$15,8,0))*VLOOKUP($D107,Role!$A$2:$O$9,10,0)*$B107))</f>
        <v>2</v>
      </c>
      <c r="L107" s="3">
        <f>INT(($B107*VLOOKUP($E107,Type!$A$2:$U$15,4,0))+((VLOOKUP($E107,Type!$A$2:$U$15,5,0)-VLOOKUP($E107,Type!$A$2:$U$15,4,0))*$B107))</f>
        <v>3</v>
      </c>
      <c r="M107" s="3">
        <f>INT($B107*VLOOKUP($D107,Role!$A$2:$O$9,10,0)*VLOOKUP($D107,Role!$A$2:$O$9,11,0))</f>
        <v>5</v>
      </c>
      <c r="N107" s="3">
        <f>INT(($B107*VLOOKUP($E107,Type!$A$2:$U$15,20,0))+((VLOOKUP($E107,Type!$A$2:$U$15,21,0)-VLOOKUP($E107,Type!$A$2:$U$15,20,0))*$B107))</f>
        <v>1</v>
      </c>
      <c r="P107" s="3">
        <f>INT(VLOOKUP($D107,Role!$A$2:$O$9,8,0)*$B107)</f>
        <v>5</v>
      </c>
      <c r="Q107" s="3">
        <f>INT(VLOOKUP($D107,Role!$A$2:$O$9,9,0)*$B107)</f>
        <v>5</v>
      </c>
      <c r="R107" s="3">
        <f>INT(VLOOKUP($C107,Size!$A$2:$Z$13,18,0)*VLOOKUP($D107,Role!$A$2:$O$9,13,0)*$B107/2)</f>
        <v>78</v>
      </c>
      <c r="S107" s="3">
        <f>INT((10+$M107)*VLOOKUP($D107,Role!$A$2:$O$9,14,0))</f>
        <v>15</v>
      </c>
      <c r="T107" s="3">
        <f>INT($I107*VLOOKUP($D107,Role!$A$2:$O$9,12,0))</f>
        <v>8</v>
      </c>
      <c r="V107" s="2">
        <f>ROUND(MAX($J107,$L107)+(MIN($J107,$L107)*VLOOKUP($D107,Role!$A$2:$O$9,14,0)),0)</f>
        <v>8</v>
      </c>
      <c r="W107" s="2">
        <f>MAX(1,INT(((MIN($I107:$J107)+(MAX($I107:$J107)*$G107*VLOOKUP($D107,Role!$A$2:$O$9,15,0))))*VLOOKUP($F107,Movement!$A$2:$C$7,3,0)))</f>
        <v>67</v>
      </c>
      <c r="Y107" s="2">
        <f t="shared" si="20"/>
        <v>6</v>
      </c>
      <c r="Z107" s="2">
        <f t="shared" si="21"/>
        <v>2</v>
      </c>
      <c r="AA107" s="2">
        <f t="shared" si="22"/>
        <v>4</v>
      </c>
      <c r="AB107" s="2">
        <f t="shared" si="23"/>
        <v>1</v>
      </c>
    </row>
    <row r="108" spans="2:28" ht="12.75">
      <c r="B108" s="2">
        <v>5</v>
      </c>
      <c r="C108" s="1" t="s">
        <v>45</v>
      </c>
      <c r="D108" s="1" t="s">
        <v>34</v>
      </c>
      <c r="E108" s="1" t="s">
        <v>36</v>
      </c>
      <c r="F108" s="1" t="s">
        <v>49</v>
      </c>
      <c r="G108" s="3">
        <f>VLOOKUP($C108,Size!$A$2:$F$13,6,0)</f>
        <v>6</v>
      </c>
      <c r="I108" s="3">
        <f>INT(VLOOKUP($C108,Size!$A$2:$Z$13,16,0)*$B108/3)</f>
        <v>8</v>
      </c>
      <c r="J108" s="3">
        <f>INT(($B108*VLOOKUP($E108,Type!$A$2:$U$15,12,0))+((VLOOKUP($E108,Type!$A$2:$U$15,13,0)-VLOOKUP($E108,Type!$A$2:$U$15,12,0))*VLOOKUP($C108,Size!$A$2:$Z$13,17,0)*$B108))</f>
        <v>5</v>
      </c>
      <c r="K108" s="3">
        <f>INT(($B108*VLOOKUP($E108,Type!$A$2:$U$15,8,0))+((VLOOKUP($E108,Type!$A$2:$U$15,9,0)-VLOOKUP($E108,Type!$A$2:$U$15,8,0))*VLOOKUP($D108,Role!$A$2:$O$9,10,0)*$B108))</f>
        <v>2</v>
      </c>
      <c r="L108" s="3">
        <f>INT(($B108*VLOOKUP($E108,Type!$A$2:$U$15,4,0))+((VLOOKUP($E108,Type!$A$2:$U$15,5,0)-VLOOKUP($E108,Type!$A$2:$U$15,4,0))*$B108))</f>
        <v>3</v>
      </c>
      <c r="M108" s="3">
        <f>INT($B108*VLOOKUP($D108,Role!$A$2:$O$9,10,0)*VLOOKUP($D108,Role!$A$2:$O$9,11,0))</f>
        <v>5</v>
      </c>
      <c r="N108" s="3">
        <f>INT(($B108*VLOOKUP($E108,Type!$A$2:$U$15,20,0))+((VLOOKUP($E108,Type!$A$2:$U$15,21,0)-VLOOKUP($E108,Type!$A$2:$U$15,20,0))*$B108))</f>
        <v>1</v>
      </c>
      <c r="P108" s="3">
        <f>INT(VLOOKUP($D108,Role!$A$2:$O$9,8,0)*$B108)</f>
        <v>5</v>
      </c>
      <c r="Q108" s="3">
        <f>INT(VLOOKUP($D108,Role!$A$2:$O$9,9,0)*$B108)</f>
        <v>5</v>
      </c>
      <c r="R108" s="3">
        <f>INT(VLOOKUP($C108,Size!$A$2:$Z$13,18,0)*VLOOKUP($D108,Role!$A$2:$O$9,13,0)*$B108/2)</f>
        <v>96</v>
      </c>
      <c r="S108" s="3">
        <f>INT((10+$M108)*VLOOKUP($D108,Role!$A$2:$O$9,14,0))</f>
        <v>15</v>
      </c>
      <c r="T108" s="3">
        <f>INT($I108*VLOOKUP($D108,Role!$A$2:$O$9,12,0))</f>
        <v>8</v>
      </c>
      <c r="V108" s="2">
        <f>ROUND(MAX($J108,$L108)+(MIN($J108,$L108)*VLOOKUP($D108,Role!$A$2:$O$9,14,0)),0)</f>
        <v>8</v>
      </c>
      <c r="W108" s="2">
        <f>MAX(1,INT(((MIN($I108:$J108)+(MAX($I108:$J108)*$G108*VLOOKUP($D108,Role!$A$2:$O$9,15,0))))*VLOOKUP($F108,Movement!$A$2:$C$7,3,0)))</f>
        <v>79</v>
      </c>
      <c r="Y108" s="2">
        <f t="shared" si="20"/>
        <v>6</v>
      </c>
      <c r="Z108" s="2">
        <f t="shared" si="21"/>
        <v>2</v>
      </c>
      <c r="AA108" s="2">
        <f t="shared" si="22"/>
        <v>3</v>
      </c>
      <c r="AB108" s="2">
        <f t="shared" si="23"/>
        <v>2</v>
      </c>
    </row>
    <row r="109" spans="2:28" ht="12.75">
      <c r="B109" s="2">
        <v>5</v>
      </c>
      <c r="C109" s="1" t="s">
        <v>46</v>
      </c>
      <c r="D109" s="1" t="s">
        <v>34</v>
      </c>
      <c r="E109" s="1" t="s">
        <v>36</v>
      </c>
      <c r="F109" s="1" t="s">
        <v>49</v>
      </c>
      <c r="G109" s="3">
        <f>VLOOKUP($C109,Size!$A$2:$F$13,6,0)</f>
        <v>7</v>
      </c>
      <c r="I109" s="3">
        <f>INT(VLOOKUP($C109,Size!$A$2:$Z$13,16,0)*$B109/3)</f>
        <v>8</v>
      </c>
      <c r="J109" s="3">
        <f>INT(($B109*VLOOKUP($E109,Type!$A$2:$U$15,12,0))+((VLOOKUP($E109,Type!$A$2:$U$15,13,0)-VLOOKUP($E109,Type!$A$2:$U$15,12,0))*VLOOKUP($C109,Size!$A$2:$Z$13,17,0)*$B109))</f>
        <v>5</v>
      </c>
      <c r="K109" s="3">
        <f>INT(($B109*VLOOKUP($E109,Type!$A$2:$U$15,8,0))+((VLOOKUP($E109,Type!$A$2:$U$15,9,0)-VLOOKUP($E109,Type!$A$2:$U$15,8,0))*VLOOKUP($D109,Role!$A$2:$O$9,10,0)*$B109))</f>
        <v>2</v>
      </c>
      <c r="L109" s="3">
        <f>INT(($B109*VLOOKUP($E109,Type!$A$2:$U$15,4,0))+((VLOOKUP($E109,Type!$A$2:$U$15,5,0)-VLOOKUP($E109,Type!$A$2:$U$15,4,0))*$B109))</f>
        <v>3</v>
      </c>
      <c r="M109" s="3">
        <f>INT($B109*VLOOKUP($D109,Role!$A$2:$O$9,10,0)*VLOOKUP($D109,Role!$A$2:$O$9,11,0))</f>
        <v>5</v>
      </c>
      <c r="N109" s="3">
        <f>INT(($B109*VLOOKUP($E109,Type!$A$2:$U$15,20,0))+((VLOOKUP($E109,Type!$A$2:$U$15,21,0)-VLOOKUP($E109,Type!$A$2:$U$15,20,0))*$B109))</f>
        <v>1</v>
      </c>
      <c r="P109" s="3">
        <f>INT(VLOOKUP($D109,Role!$A$2:$O$9,8,0)*$B109)</f>
        <v>5</v>
      </c>
      <c r="Q109" s="3">
        <f>INT(VLOOKUP($D109,Role!$A$2:$O$9,9,0)*$B109)</f>
        <v>5</v>
      </c>
      <c r="R109" s="3">
        <f>INT(VLOOKUP($C109,Size!$A$2:$Z$13,18,0)*VLOOKUP($D109,Role!$A$2:$O$9,13,0)*$B109/2)</f>
        <v>116</v>
      </c>
      <c r="S109" s="3">
        <f>INT((10+$M109)*VLOOKUP($D109,Role!$A$2:$O$9,14,0))</f>
        <v>15</v>
      </c>
      <c r="T109" s="3">
        <f>INT($I109*VLOOKUP($D109,Role!$A$2:$O$9,12,0))</f>
        <v>8</v>
      </c>
      <c r="V109" s="2">
        <f>ROUND(MAX($J109,$L109)+(MIN($J109,$L109)*VLOOKUP($D109,Role!$A$2:$O$9,14,0)),0)</f>
        <v>8</v>
      </c>
      <c r="W109" s="2">
        <f>MAX(1,INT(((MIN($I109:$J109)+(MAX($I109:$J109)*$G109*VLOOKUP($D109,Role!$A$2:$O$9,15,0))))*VLOOKUP($F109,Movement!$A$2:$C$7,3,0)))</f>
        <v>91</v>
      </c>
      <c r="Y109" s="2">
        <f t="shared" si="20"/>
        <v>7</v>
      </c>
      <c r="Z109" s="2">
        <f t="shared" si="21"/>
        <v>1</v>
      </c>
      <c r="AA109" s="2">
        <f t="shared" si="22"/>
        <v>3</v>
      </c>
      <c r="AB109" s="2">
        <f t="shared" si="23"/>
        <v>2</v>
      </c>
    </row>
  </sheetData>
  <sheetProtection selectLockedCells="1" selectUnlockedCells="1"/>
  <conditionalFormatting sqref="I1:O65536">
    <cfRule type="cellIs" priority="1" dxfId="0" operator="greaterThan" stopIfTrue="1">
      <formula>5</formula>
    </cfRule>
  </conditionalFormatting>
  <dataValidations count="4">
    <dataValidation type="list" operator="equal" allowBlank="1" showErrorMessage="1" sqref="C2:C49 C51:C61 C63:C73 C75:C85 C87:C97 C99:C109">
      <formula1>Size!$A$2:$A$13</formula1>
    </dataValidation>
    <dataValidation type="list" operator="equal" allowBlank="1" showErrorMessage="1" sqref="D2:D49 D51:D61 D63:D73 D75:D85 D87:D97 D99:D109">
      <formula1>Role!$A$2:$A$9</formula1>
    </dataValidation>
    <dataValidation type="list" operator="equal" allowBlank="1" showErrorMessage="1" sqref="E2:E49 E51:E61 E63:E73 E75:E85 E87:E97 E99:E109">
      <formula1>Type!$A$2:$A$15</formula1>
    </dataValidation>
    <dataValidation type="list" operator="equal" allowBlank="1" showErrorMessage="1" sqref="F2:F109">
      <formula1>Movement!$A$2:$A$7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C4" sqref="C4"/>
    </sheetView>
  </sheetViews>
  <sheetFormatPr defaultColWidth="10.28125" defaultRowHeight="12.75"/>
  <cols>
    <col min="1" max="1" width="23.421875" style="0" customWidth="1"/>
    <col min="2" max="16384" width="11.57421875" style="0" customWidth="1"/>
  </cols>
  <sheetData>
    <row r="1" spans="1:3" ht="12.75">
      <c r="A1" s="8" t="s">
        <v>50</v>
      </c>
      <c r="B1" s="8" t="s">
        <v>51</v>
      </c>
      <c r="C1" s="8" t="s">
        <v>52</v>
      </c>
    </row>
    <row r="2" spans="1:3" ht="12.75">
      <c r="A2" t="s">
        <v>27</v>
      </c>
      <c r="B2">
        <v>20</v>
      </c>
      <c r="C2">
        <f aca="true" t="shared" si="0" ref="C2:C7">$B2/20</f>
        <v>1</v>
      </c>
    </row>
    <row r="3" spans="1:3" ht="12.75">
      <c r="A3" t="s">
        <v>53</v>
      </c>
      <c r="B3">
        <v>44</v>
      </c>
      <c r="C3">
        <f t="shared" si="0"/>
        <v>2.2</v>
      </c>
    </row>
    <row r="4" spans="1:3" ht="12.75">
      <c r="A4" t="s">
        <v>54</v>
      </c>
      <c r="B4">
        <v>40</v>
      </c>
      <c r="C4">
        <f t="shared" si="0"/>
        <v>2</v>
      </c>
    </row>
    <row r="5" spans="1:3" ht="12.75">
      <c r="A5" t="s">
        <v>49</v>
      </c>
      <c r="B5">
        <v>30</v>
      </c>
      <c r="C5">
        <f t="shared" si="0"/>
        <v>1.5</v>
      </c>
    </row>
    <row r="6" spans="1:3" ht="12.75">
      <c r="A6" t="s">
        <v>55</v>
      </c>
      <c r="B6">
        <v>36</v>
      </c>
      <c r="C6">
        <f t="shared" si="0"/>
        <v>1.8</v>
      </c>
    </row>
    <row r="7" spans="1:3" ht="12.75">
      <c r="A7" t="s">
        <v>56</v>
      </c>
      <c r="B7">
        <v>400</v>
      </c>
      <c r="C7">
        <f t="shared" si="0"/>
        <v>20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V1" sqref="V1"/>
    </sheetView>
  </sheetViews>
  <sheetFormatPr defaultColWidth="10.28125" defaultRowHeight="12.75"/>
  <cols>
    <col min="1" max="1" width="11.57421875" style="0" customWidth="1"/>
    <col min="2" max="21" width="5.140625" style="0" customWidth="1"/>
    <col min="22" max="16384" width="11.57421875" style="0" customWidth="1"/>
  </cols>
  <sheetData>
    <row r="1" spans="1:21" ht="12.75">
      <c r="A1" s="8" t="s">
        <v>4</v>
      </c>
      <c r="B1" s="8" t="s">
        <v>57</v>
      </c>
      <c r="C1" s="8"/>
      <c r="D1" s="8"/>
      <c r="E1" s="8"/>
      <c r="F1" s="8" t="s">
        <v>58</v>
      </c>
      <c r="G1" s="8"/>
      <c r="H1" s="8"/>
      <c r="I1" s="8"/>
      <c r="J1" s="8" t="s">
        <v>59</v>
      </c>
      <c r="K1" s="8"/>
      <c r="L1" s="8"/>
      <c r="M1" s="8"/>
      <c r="N1" s="8" t="s">
        <v>60</v>
      </c>
      <c r="O1" s="8"/>
      <c r="P1" s="8"/>
      <c r="Q1" s="8"/>
      <c r="R1" s="8" t="s">
        <v>61</v>
      </c>
      <c r="S1" s="8"/>
      <c r="T1" s="8"/>
      <c r="U1" s="8"/>
    </row>
    <row r="2" spans="1:21" ht="12.75">
      <c r="A2" t="s">
        <v>62</v>
      </c>
      <c r="B2" s="9">
        <v>2</v>
      </c>
      <c r="C2" s="9">
        <v>8</v>
      </c>
      <c r="D2" s="10">
        <f aca="true" t="shared" si="0" ref="D2:D15">B2/9</f>
        <v>0.22222222222222202</v>
      </c>
      <c r="E2" s="10">
        <f aca="true" t="shared" si="1" ref="E2:E15">C2/9</f>
        <v>0.8888888888888891</v>
      </c>
      <c r="F2" s="9">
        <v>1</v>
      </c>
      <c r="G2" s="9">
        <v>9</v>
      </c>
      <c r="H2" s="10">
        <f aca="true" t="shared" si="2" ref="H2:H15">F2/9</f>
        <v>0.11111111111111101</v>
      </c>
      <c r="I2" s="10">
        <f aca="true" t="shared" si="3" ref="I2:I15">G2/9</f>
        <v>1</v>
      </c>
      <c r="J2" s="9">
        <v>4</v>
      </c>
      <c r="K2" s="9">
        <v>8</v>
      </c>
      <c r="L2" s="10">
        <f aca="true" t="shared" si="4" ref="L2:L15">J2/11</f>
        <v>0.36363636363636404</v>
      </c>
      <c r="M2" s="10">
        <f aca="true" t="shared" si="5" ref="M2:M15">K2/11</f>
        <v>0.7272727272727271</v>
      </c>
      <c r="N2" s="9">
        <v>1</v>
      </c>
      <c r="O2" s="9">
        <v>9</v>
      </c>
      <c r="P2" s="10">
        <f aca="true" t="shared" si="6" ref="P2:P15">N2/9</f>
        <v>0.11111111111111101</v>
      </c>
      <c r="Q2" s="10">
        <f aca="true" t="shared" si="7" ref="Q2:Q15">O2/9</f>
        <v>1</v>
      </c>
      <c r="R2" s="9">
        <v>0</v>
      </c>
      <c r="S2" s="9">
        <v>6</v>
      </c>
      <c r="T2" s="10">
        <f aca="true" t="shared" si="8" ref="T2:T15">R2/9</f>
        <v>0</v>
      </c>
      <c r="U2" s="10">
        <f aca="true" t="shared" si="9" ref="U2:U15">S2/9</f>
        <v>0.6666666666666671</v>
      </c>
    </row>
    <row r="3" spans="1:21" ht="12.75">
      <c r="A3" t="s">
        <v>36</v>
      </c>
      <c r="B3" s="9">
        <v>4</v>
      </c>
      <c r="C3" s="9">
        <v>7</v>
      </c>
      <c r="D3" s="10">
        <f t="shared" si="0"/>
        <v>0.44444444444444403</v>
      </c>
      <c r="E3" s="10">
        <f t="shared" si="1"/>
        <v>0.777777777777778</v>
      </c>
      <c r="F3" s="9">
        <v>0</v>
      </c>
      <c r="G3" s="9">
        <v>5</v>
      </c>
      <c r="H3" s="10">
        <f t="shared" si="2"/>
        <v>0</v>
      </c>
      <c r="I3" s="10">
        <f t="shared" si="3"/>
        <v>0.555555555555556</v>
      </c>
      <c r="J3" s="9">
        <v>5</v>
      </c>
      <c r="K3" s="9">
        <v>8</v>
      </c>
      <c r="L3" s="10">
        <f t="shared" si="4"/>
        <v>0.45454545454545503</v>
      </c>
      <c r="M3" s="10">
        <f t="shared" si="5"/>
        <v>0.7272727272727271</v>
      </c>
      <c r="N3" s="9">
        <v>1</v>
      </c>
      <c r="O3" s="9">
        <v>7</v>
      </c>
      <c r="P3" s="10">
        <f t="shared" si="6"/>
        <v>0.11111111111111101</v>
      </c>
      <c r="Q3" s="10">
        <f t="shared" si="7"/>
        <v>0.777777777777778</v>
      </c>
      <c r="R3" s="9">
        <v>0</v>
      </c>
      <c r="S3" s="9">
        <v>3</v>
      </c>
      <c r="T3" s="10">
        <f t="shared" si="8"/>
        <v>0</v>
      </c>
      <c r="U3" s="10">
        <f t="shared" si="9"/>
        <v>0.33333333333333304</v>
      </c>
    </row>
    <row r="4" spans="1:21" ht="12.75">
      <c r="A4" t="s">
        <v>63</v>
      </c>
      <c r="B4" s="9">
        <v>7</v>
      </c>
      <c r="C4" s="9">
        <v>10</v>
      </c>
      <c r="D4" s="10">
        <f t="shared" si="0"/>
        <v>0.777777777777778</v>
      </c>
      <c r="E4" s="10">
        <f t="shared" si="1"/>
        <v>1.11111111111111</v>
      </c>
      <c r="F4" s="9">
        <v>5</v>
      </c>
      <c r="G4" s="9">
        <v>10</v>
      </c>
      <c r="H4" s="10">
        <f t="shared" si="2"/>
        <v>0.555555555555556</v>
      </c>
      <c r="I4" s="10">
        <f t="shared" si="3"/>
        <v>1.11111111111111</v>
      </c>
      <c r="J4" s="9">
        <v>7</v>
      </c>
      <c r="K4" s="9">
        <v>11</v>
      </c>
      <c r="L4" s="10">
        <f t="shared" si="4"/>
        <v>0.636363636363636</v>
      </c>
      <c r="M4" s="10">
        <f t="shared" si="5"/>
        <v>1</v>
      </c>
      <c r="N4" s="9">
        <v>6</v>
      </c>
      <c r="O4" s="9">
        <v>15</v>
      </c>
      <c r="P4" s="10">
        <f t="shared" si="6"/>
        <v>0.6666666666666671</v>
      </c>
      <c r="Q4" s="10">
        <f t="shared" si="7"/>
        <v>1.66666666666667</v>
      </c>
      <c r="R4" s="9">
        <v>5</v>
      </c>
      <c r="S4" s="9">
        <v>10</v>
      </c>
      <c r="T4" s="10">
        <f t="shared" si="8"/>
        <v>0.555555555555556</v>
      </c>
      <c r="U4" s="10">
        <f t="shared" si="9"/>
        <v>1.11111111111111</v>
      </c>
    </row>
    <row r="5" spans="1:21" ht="12.75">
      <c r="A5" t="s">
        <v>64</v>
      </c>
      <c r="B5" s="9">
        <v>1</v>
      </c>
      <c r="C5" s="9">
        <v>5</v>
      </c>
      <c r="D5" s="10">
        <f t="shared" si="0"/>
        <v>0.11111111111111101</v>
      </c>
      <c r="E5" s="10">
        <f t="shared" si="1"/>
        <v>0.555555555555556</v>
      </c>
      <c r="F5" s="9">
        <v>0</v>
      </c>
      <c r="G5" s="9">
        <v>5</v>
      </c>
      <c r="H5" s="10">
        <f t="shared" si="2"/>
        <v>0</v>
      </c>
      <c r="I5" s="10">
        <f t="shared" si="3"/>
        <v>0.555555555555556</v>
      </c>
      <c r="J5" s="9">
        <v>4</v>
      </c>
      <c r="K5" s="9">
        <v>7</v>
      </c>
      <c r="L5" s="10">
        <f t="shared" si="4"/>
        <v>0.36363636363636404</v>
      </c>
      <c r="M5" s="10">
        <f t="shared" si="5"/>
        <v>0.636363636363636</v>
      </c>
      <c r="N5" s="9">
        <v>0</v>
      </c>
      <c r="O5" s="9">
        <v>7</v>
      </c>
      <c r="P5" s="10">
        <f t="shared" si="6"/>
        <v>0</v>
      </c>
      <c r="Q5" s="10">
        <f t="shared" si="7"/>
        <v>0.777777777777778</v>
      </c>
      <c r="R5" s="9">
        <v>0</v>
      </c>
      <c r="S5" s="9">
        <v>5</v>
      </c>
      <c r="T5" s="10">
        <f t="shared" si="8"/>
        <v>0</v>
      </c>
      <c r="U5" s="10">
        <f t="shared" si="9"/>
        <v>0.555555555555556</v>
      </c>
    </row>
    <row r="6" spans="1:21" ht="12.75">
      <c r="A6" t="s">
        <v>65</v>
      </c>
      <c r="B6" s="9">
        <v>5</v>
      </c>
      <c r="C6" s="9">
        <v>8</v>
      </c>
      <c r="D6" s="10">
        <f t="shared" si="0"/>
        <v>0.555555555555556</v>
      </c>
      <c r="E6" s="10">
        <f t="shared" si="1"/>
        <v>0.8888888888888891</v>
      </c>
      <c r="F6" s="9">
        <v>2</v>
      </c>
      <c r="G6" s="9">
        <v>10</v>
      </c>
      <c r="H6" s="10">
        <f t="shared" si="2"/>
        <v>0.22222222222222202</v>
      </c>
      <c r="I6" s="10">
        <f t="shared" si="3"/>
        <v>1.11111111111111</v>
      </c>
      <c r="J6" s="9">
        <v>5</v>
      </c>
      <c r="K6" s="9">
        <v>8</v>
      </c>
      <c r="L6" s="10">
        <f t="shared" si="4"/>
        <v>0.45454545454545503</v>
      </c>
      <c r="M6" s="10">
        <f t="shared" si="5"/>
        <v>0.7272727272727271</v>
      </c>
      <c r="N6" s="9">
        <v>5</v>
      </c>
      <c r="O6" s="9">
        <v>10</v>
      </c>
      <c r="P6" s="10">
        <f t="shared" si="6"/>
        <v>0.555555555555556</v>
      </c>
      <c r="Q6" s="10">
        <f t="shared" si="7"/>
        <v>1.11111111111111</v>
      </c>
      <c r="R6" s="9">
        <v>1</v>
      </c>
      <c r="S6" s="9">
        <v>10</v>
      </c>
      <c r="T6" s="10">
        <f t="shared" si="8"/>
        <v>0.11111111111111101</v>
      </c>
      <c r="U6" s="10">
        <f t="shared" si="9"/>
        <v>1.11111111111111</v>
      </c>
    </row>
    <row r="7" spans="1:21" ht="12.75">
      <c r="A7" t="s">
        <v>26</v>
      </c>
      <c r="B7" s="9">
        <v>5</v>
      </c>
      <c r="C7" s="9">
        <v>8</v>
      </c>
      <c r="D7" s="10">
        <f t="shared" si="0"/>
        <v>0.555555555555556</v>
      </c>
      <c r="E7" s="10">
        <f t="shared" si="1"/>
        <v>0.8888888888888891</v>
      </c>
      <c r="F7" s="9">
        <v>2</v>
      </c>
      <c r="G7" s="9">
        <v>9</v>
      </c>
      <c r="H7" s="10">
        <f t="shared" si="2"/>
        <v>0.22222222222222202</v>
      </c>
      <c r="I7" s="10">
        <f t="shared" si="3"/>
        <v>1</v>
      </c>
      <c r="J7" s="9">
        <v>4</v>
      </c>
      <c r="K7" s="9">
        <v>10</v>
      </c>
      <c r="L7" s="10">
        <f t="shared" si="4"/>
        <v>0.36363636363636404</v>
      </c>
      <c r="M7" s="10">
        <f t="shared" si="5"/>
        <v>0.9090909090909091</v>
      </c>
      <c r="N7" s="9">
        <v>2</v>
      </c>
      <c r="O7" s="9">
        <v>10</v>
      </c>
      <c r="P7" s="10">
        <f t="shared" si="6"/>
        <v>0.22222222222222202</v>
      </c>
      <c r="Q7" s="10">
        <f t="shared" si="7"/>
        <v>1.11111111111111</v>
      </c>
      <c r="R7" s="9">
        <v>2</v>
      </c>
      <c r="S7" s="9">
        <v>8</v>
      </c>
      <c r="T7" s="10">
        <f t="shared" si="8"/>
        <v>0.22222222222222202</v>
      </c>
      <c r="U7" s="10">
        <f t="shared" si="9"/>
        <v>0.8888888888888891</v>
      </c>
    </row>
    <row r="8" spans="1:21" ht="12.75">
      <c r="A8" t="s">
        <v>66</v>
      </c>
      <c r="B8" s="9">
        <v>6</v>
      </c>
      <c r="C8" s="9">
        <v>7</v>
      </c>
      <c r="D8" s="10">
        <f t="shared" si="0"/>
        <v>0.6666666666666671</v>
      </c>
      <c r="E8" s="10">
        <f t="shared" si="1"/>
        <v>0.777777777777778</v>
      </c>
      <c r="F8" s="9">
        <v>5</v>
      </c>
      <c r="G8" s="9">
        <v>7</v>
      </c>
      <c r="H8" s="10">
        <f t="shared" si="2"/>
        <v>0.555555555555556</v>
      </c>
      <c r="I8" s="10">
        <f t="shared" si="3"/>
        <v>0.777777777777778</v>
      </c>
      <c r="J8" s="9">
        <v>6</v>
      </c>
      <c r="K8" s="9">
        <v>8</v>
      </c>
      <c r="L8" s="10">
        <f t="shared" si="4"/>
        <v>0.5454545454545451</v>
      </c>
      <c r="M8" s="10">
        <f t="shared" si="5"/>
        <v>0.7272727272727271</v>
      </c>
      <c r="N8" s="9">
        <v>5</v>
      </c>
      <c r="O8" s="9">
        <v>9</v>
      </c>
      <c r="P8" s="10">
        <f t="shared" si="6"/>
        <v>0.555555555555556</v>
      </c>
      <c r="Q8" s="10">
        <f t="shared" si="7"/>
        <v>1</v>
      </c>
      <c r="R8" s="9">
        <v>5</v>
      </c>
      <c r="S8" s="9">
        <v>8</v>
      </c>
      <c r="T8" s="10">
        <f t="shared" si="8"/>
        <v>0.555555555555556</v>
      </c>
      <c r="U8" s="10">
        <f t="shared" si="9"/>
        <v>0.8888888888888891</v>
      </c>
    </row>
    <row r="9" spans="1:21" ht="12.75">
      <c r="A9" t="s">
        <v>67</v>
      </c>
      <c r="B9" s="9">
        <v>4</v>
      </c>
      <c r="C9" s="9">
        <v>8</v>
      </c>
      <c r="D9" s="10">
        <f t="shared" si="0"/>
        <v>0.44444444444444403</v>
      </c>
      <c r="E9" s="10">
        <f t="shared" si="1"/>
        <v>0.8888888888888891</v>
      </c>
      <c r="F9" s="9">
        <v>1</v>
      </c>
      <c r="G9" s="9">
        <v>9</v>
      </c>
      <c r="H9" s="10">
        <f t="shared" si="2"/>
        <v>0.11111111111111101</v>
      </c>
      <c r="I9" s="10">
        <f t="shared" si="3"/>
        <v>1</v>
      </c>
      <c r="J9" s="9">
        <v>4</v>
      </c>
      <c r="K9" s="9">
        <v>10</v>
      </c>
      <c r="L9" s="10">
        <f t="shared" si="4"/>
        <v>0.36363636363636404</v>
      </c>
      <c r="M9" s="10">
        <f t="shared" si="5"/>
        <v>0.9090909090909091</v>
      </c>
      <c r="N9" s="9">
        <v>1</v>
      </c>
      <c r="O9" s="9">
        <v>10</v>
      </c>
      <c r="P9" s="10">
        <f t="shared" si="6"/>
        <v>0.11111111111111101</v>
      </c>
      <c r="Q9" s="10">
        <f t="shared" si="7"/>
        <v>1.11111111111111</v>
      </c>
      <c r="R9" s="9">
        <v>1</v>
      </c>
      <c r="S9" s="9">
        <v>10</v>
      </c>
      <c r="T9" s="10">
        <f t="shared" si="8"/>
        <v>0.11111111111111101</v>
      </c>
      <c r="U9" s="10">
        <f t="shared" si="9"/>
        <v>1.11111111111111</v>
      </c>
    </row>
    <row r="10" spans="1:21" ht="12.75">
      <c r="A10" t="s">
        <v>68</v>
      </c>
      <c r="B10" s="9">
        <v>4</v>
      </c>
      <c r="C10" s="9">
        <v>9</v>
      </c>
      <c r="D10" s="10">
        <f t="shared" si="0"/>
        <v>0.44444444444444403</v>
      </c>
      <c r="E10" s="10">
        <f t="shared" si="1"/>
        <v>1</v>
      </c>
      <c r="F10" s="9">
        <v>2</v>
      </c>
      <c r="G10" s="9">
        <v>8</v>
      </c>
      <c r="H10" s="10">
        <f t="shared" si="2"/>
        <v>0.22222222222222202</v>
      </c>
      <c r="I10" s="10">
        <f t="shared" si="3"/>
        <v>0.8888888888888891</v>
      </c>
      <c r="J10" s="9">
        <v>4</v>
      </c>
      <c r="K10" s="9">
        <v>7</v>
      </c>
      <c r="L10" s="10">
        <f t="shared" si="4"/>
        <v>0.36363636363636404</v>
      </c>
      <c r="M10" s="10">
        <f t="shared" si="5"/>
        <v>0.636363636363636</v>
      </c>
      <c r="N10" s="9">
        <v>3</v>
      </c>
      <c r="O10" s="9">
        <v>9</v>
      </c>
      <c r="P10" s="10">
        <f t="shared" si="6"/>
        <v>0.33333333333333304</v>
      </c>
      <c r="Q10" s="10">
        <f t="shared" si="7"/>
        <v>1</v>
      </c>
      <c r="R10" s="9">
        <v>0</v>
      </c>
      <c r="S10" s="9">
        <v>9</v>
      </c>
      <c r="T10" s="10">
        <f t="shared" si="8"/>
        <v>0</v>
      </c>
      <c r="U10" s="10">
        <f t="shared" si="9"/>
        <v>1</v>
      </c>
    </row>
    <row r="11" spans="1:21" ht="12.75">
      <c r="A11" t="s">
        <v>47</v>
      </c>
      <c r="B11" s="9">
        <v>4</v>
      </c>
      <c r="C11" s="9">
        <v>8</v>
      </c>
      <c r="D11" s="10">
        <f t="shared" si="0"/>
        <v>0.44444444444444403</v>
      </c>
      <c r="E11" s="10">
        <f t="shared" si="1"/>
        <v>0.8888888888888891</v>
      </c>
      <c r="F11" s="9">
        <v>4</v>
      </c>
      <c r="G11" s="9">
        <v>10</v>
      </c>
      <c r="H11" s="10">
        <f t="shared" si="2"/>
        <v>0.44444444444444403</v>
      </c>
      <c r="I11" s="10">
        <f t="shared" si="3"/>
        <v>1.11111111111111</v>
      </c>
      <c r="J11" s="9">
        <v>4</v>
      </c>
      <c r="K11" s="9">
        <v>7</v>
      </c>
      <c r="L11" s="10">
        <f t="shared" si="4"/>
        <v>0.36363636363636404</v>
      </c>
      <c r="M11" s="10">
        <f t="shared" si="5"/>
        <v>0.636363636363636</v>
      </c>
      <c r="N11" s="9">
        <v>4</v>
      </c>
      <c r="O11" s="9">
        <v>7</v>
      </c>
      <c r="P11" s="10">
        <f t="shared" si="6"/>
        <v>0.44444444444444403</v>
      </c>
      <c r="Q11" s="10">
        <f t="shared" si="7"/>
        <v>0.777777777777778</v>
      </c>
      <c r="R11" s="9">
        <v>0</v>
      </c>
      <c r="S11" s="9">
        <v>10</v>
      </c>
      <c r="T11" s="10">
        <f t="shared" si="8"/>
        <v>0</v>
      </c>
      <c r="U11" s="10">
        <f t="shared" si="9"/>
        <v>1.11111111111111</v>
      </c>
    </row>
    <row r="12" spans="1:21" ht="12.75">
      <c r="A12" t="s">
        <v>35</v>
      </c>
      <c r="B12" s="9">
        <v>4</v>
      </c>
      <c r="C12" s="9">
        <v>7</v>
      </c>
      <c r="D12" s="10">
        <f t="shared" si="0"/>
        <v>0.44444444444444403</v>
      </c>
      <c r="E12" s="10">
        <f t="shared" si="1"/>
        <v>0.777777777777778</v>
      </c>
      <c r="F12" s="9">
        <v>0</v>
      </c>
      <c r="G12" s="9">
        <v>5</v>
      </c>
      <c r="H12" s="10">
        <f t="shared" si="2"/>
        <v>0</v>
      </c>
      <c r="I12" s="10">
        <f t="shared" si="3"/>
        <v>0.555555555555556</v>
      </c>
      <c r="J12" s="9">
        <v>4</v>
      </c>
      <c r="K12" s="9">
        <v>9</v>
      </c>
      <c r="L12" s="10">
        <f t="shared" si="4"/>
        <v>0.36363636363636404</v>
      </c>
      <c r="M12" s="10">
        <f t="shared" si="5"/>
        <v>0.818181818181818</v>
      </c>
      <c r="N12" s="9">
        <v>2</v>
      </c>
      <c r="O12" s="9">
        <v>7</v>
      </c>
      <c r="P12" s="10">
        <f t="shared" si="6"/>
        <v>0.22222222222222202</v>
      </c>
      <c r="Q12" s="10">
        <f t="shared" si="7"/>
        <v>0.777777777777778</v>
      </c>
      <c r="R12" s="9">
        <v>0</v>
      </c>
      <c r="S12" s="9">
        <v>10</v>
      </c>
      <c r="T12" s="10">
        <f t="shared" si="8"/>
        <v>0</v>
      </c>
      <c r="U12" s="10">
        <f t="shared" si="9"/>
        <v>1.11111111111111</v>
      </c>
    </row>
    <row r="13" spans="1:21" ht="12.75">
      <c r="A13" t="s">
        <v>69</v>
      </c>
      <c r="B13" s="9">
        <v>3</v>
      </c>
      <c r="C13" s="9">
        <v>3</v>
      </c>
      <c r="D13" s="10">
        <f t="shared" si="0"/>
        <v>0.33333333333333304</v>
      </c>
      <c r="E13" s="10">
        <f t="shared" si="1"/>
        <v>0.33333333333333304</v>
      </c>
      <c r="F13" s="9">
        <v>0</v>
      </c>
      <c r="G13" s="9">
        <v>1</v>
      </c>
      <c r="H13" s="10">
        <f t="shared" si="2"/>
        <v>0</v>
      </c>
      <c r="I13" s="10">
        <f t="shared" si="3"/>
        <v>0.11111111111111101</v>
      </c>
      <c r="J13" s="9">
        <v>1</v>
      </c>
      <c r="K13" s="9">
        <v>3</v>
      </c>
      <c r="L13" s="10">
        <f t="shared" si="4"/>
        <v>0.0909090909090909</v>
      </c>
      <c r="M13" s="10">
        <f t="shared" si="5"/>
        <v>0.27272727272727304</v>
      </c>
      <c r="N13" s="9">
        <v>0</v>
      </c>
      <c r="O13" s="9">
        <v>2</v>
      </c>
      <c r="P13" s="10">
        <f t="shared" si="6"/>
        <v>0</v>
      </c>
      <c r="Q13" s="10">
        <f t="shared" si="7"/>
        <v>0.22222222222222202</v>
      </c>
      <c r="R13" s="9">
        <v>0</v>
      </c>
      <c r="S13" s="9">
        <v>0</v>
      </c>
      <c r="T13" s="10">
        <f t="shared" si="8"/>
        <v>0</v>
      </c>
      <c r="U13" s="10">
        <f t="shared" si="9"/>
        <v>0</v>
      </c>
    </row>
    <row r="14" spans="1:21" ht="12.75">
      <c r="A14" t="s">
        <v>70</v>
      </c>
      <c r="B14" s="9">
        <v>0</v>
      </c>
      <c r="C14" s="9">
        <v>8</v>
      </c>
      <c r="D14" s="10">
        <f t="shared" si="0"/>
        <v>0</v>
      </c>
      <c r="E14" s="10">
        <f t="shared" si="1"/>
        <v>0.8888888888888891</v>
      </c>
      <c r="F14" s="9">
        <v>0</v>
      </c>
      <c r="G14" s="9">
        <v>6</v>
      </c>
      <c r="H14" s="10">
        <f t="shared" si="2"/>
        <v>0</v>
      </c>
      <c r="I14" s="10">
        <f t="shared" si="3"/>
        <v>0.6666666666666671</v>
      </c>
      <c r="J14" s="9">
        <v>0</v>
      </c>
      <c r="K14" s="9">
        <v>6</v>
      </c>
      <c r="L14" s="10">
        <f t="shared" si="4"/>
        <v>0</v>
      </c>
      <c r="M14" s="10">
        <f t="shared" si="5"/>
        <v>0.5454545454545451</v>
      </c>
      <c r="N14" s="9">
        <v>0</v>
      </c>
      <c r="O14" s="9">
        <v>6</v>
      </c>
      <c r="P14" s="10">
        <f t="shared" si="6"/>
        <v>0</v>
      </c>
      <c r="Q14" s="10">
        <f t="shared" si="7"/>
        <v>0.6666666666666671</v>
      </c>
      <c r="R14" s="9">
        <v>0</v>
      </c>
      <c r="S14" s="9">
        <v>5</v>
      </c>
      <c r="T14" s="10">
        <f t="shared" si="8"/>
        <v>0</v>
      </c>
      <c r="U14" s="10">
        <f t="shared" si="9"/>
        <v>0.555555555555556</v>
      </c>
    </row>
    <row r="15" spans="1:21" ht="12.75">
      <c r="A15" t="s">
        <v>71</v>
      </c>
      <c r="B15" s="9">
        <v>5</v>
      </c>
      <c r="C15" s="9">
        <v>9</v>
      </c>
      <c r="D15" s="10">
        <f t="shared" si="0"/>
        <v>0.555555555555556</v>
      </c>
      <c r="E15" s="10">
        <f t="shared" si="1"/>
        <v>1</v>
      </c>
      <c r="F15" s="9">
        <v>2</v>
      </c>
      <c r="G15" s="9">
        <v>10</v>
      </c>
      <c r="H15" s="10">
        <f t="shared" si="2"/>
        <v>0.22222222222222202</v>
      </c>
      <c r="I15" s="10">
        <f t="shared" si="3"/>
        <v>1.11111111111111</v>
      </c>
      <c r="J15" s="9">
        <v>4</v>
      </c>
      <c r="K15" s="9">
        <v>10</v>
      </c>
      <c r="L15" s="10">
        <f t="shared" si="4"/>
        <v>0.36363636363636404</v>
      </c>
      <c r="M15" s="10">
        <f t="shared" si="5"/>
        <v>0.9090909090909091</v>
      </c>
      <c r="N15" s="9">
        <v>2</v>
      </c>
      <c r="O15" s="9">
        <v>10</v>
      </c>
      <c r="P15" s="10">
        <f t="shared" si="6"/>
        <v>0.22222222222222202</v>
      </c>
      <c r="Q15" s="10">
        <f t="shared" si="7"/>
        <v>1.11111111111111</v>
      </c>
      <c r="R15" s="9">
        <v>0</v>
      </c>
      <c r="S15" s="9">
        <v>10</v>
      </c>
      <c r="T15" s="10">
        <f t="shared" si="8"/>
        <v>0</v>
      </c>
      <c r="U15" s="10">
        <f t="shared" si="9"/>
        <v>1.11111111111111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O10" sqref="O10"/>
    </sheetView>
  </sheetViews>
  <sheetFormatPr defaultColWidth="10.28125" defaultRowHeight="12.75"/>
  <cols>
    <col min="1" max="1" width="11.57421875" style="1" customWidth="1"/>
    <col min="2" max="11" width="7.7109375" style="2" customWidth="1"/>
    <col min="12" max="13" width="7.7109375" style="1" customWidth="1"/>
    <col min="14" max="15" width="7.7109375" style="2" customWidth="1"/>
    <col min="16" max="16384" width="11.57421875" style="1" customWidth="1"/>
  </cols>
  <sheetData>
    <row r="1" spans="1:15" ht="12.75">
      <c r="A1" s="11" t="s">
        <v>3</v>
      </c>
      <c r="B1" s="12" t="s">
        <v>72</v>
      </c>
      <c r="C1" s="12" t="s">
        <v>73</v>
      </c>
      <c r="D1" s="12" t="s">
        <v>74</v>
      </c>
      <c r="E1" s="12" t="s">
        <v>75</v>
      </c>
      <c r="F1" s="12" t="s">
        <v>76</v>
      </c>
      <c r="G1" s="12" t="s">
        <v>77</v>
      </c>
      <c r="H1" s="12" t="s">
        <v>72</v>
      </c>
      <c r="I1" s="12" t="s">
        <v>73</v>
      </c>
      <c r="J1" s="12" t="s">
        <v>74</v>
      </c>
      <c r="K1" s="12" t="s">
        <v>75</v>
      </c>
      <c r="L1" s="12" t="s">
        <v>76</v>
      </c>
      <c r="M1" s="12" t="s">
        <v>77</v>
      </c>
      <c r="N1" s="12" t="s">
        <v>78</v>
      </c>
      <c r="O1" s="12" t="s">
        <v>79</v>
      </c>
    </row>
    <row r="2" spans="1:15" ht="12.75">
      <c r="A2" s="13" t="s">
        <v>25</v>
      </c>
      <c r="B2" s="2">
        <v>2</v>
      </c>
      <c r="C2" s="2">
        <v>4</v>
      </c>
      <c r="D2" s="2">
        <v>3</v>
      </c>
      <c r="E2" s="2">
        <v>2</v>
      </c>
      <c r="F2" s="2">
        <v>0.5</v>
      </c>
      <c r="G2" s="2">
        <v>2</v>
      </c>
      <c r="H2" s="14">
        <f aca="true" t="shared" si="0" ref="H2:H9">B2/3</f>
        <v>0.6666666666666671</v>
      </c>
      <c r="I2" s="14">
        <f aca="true" t="shared" si="1" ref="I2:I9">C2/3</f>
        <v>1.33333333333333</v>
      </c>
      <c r="J2" s="14">
        <f aca="true" t="shared" si="2" ref="J2:J9">D2/3</f>
        <v>1</v>
      </c>
      <c r="K2" s="14">
        <f aca="true" t="shared" si="3" ref="K2:K9">E2/3</f>
        <v>0.6666666666666671</v>
      </c>
      <c r="L2" s="14">
        <f aca="true" t="shared" si="4" ref="L2:L9">($F2+1)/2</f>
        <v>0.75</v>
      </c>
      <c r="M2" s="14">
        <f aca="true" t="shared" si="5" ref="M2:M9">G2/3</f>
        <v>0.6666666666666671</v>
      </c>
      <c r="N2" s="15">
        <v>0.75</v>
      </c>
      <c r="O2" s="15">
        <v>0.5</v>
      </c>
    </row>
    <row r="3" spans="1:15" ht="12.75">
      <c r="A3" s="13" t="s">
        <v>28</v>
      </c>
      <c r="B3" s="2">
        <v>4</v>
      </c>
      <c r="C3" s="2">
        <v>2</v>
      </c>
      <c r="D3" s="2">
        <v>2</v>
      </c>
      <c r="E3" s="2">
        <v>4</v>
      </c>
      <c r="F3" s="2">
        <v>2</v>
      </c>
      <c r="G3" s="2">
        <v>6</v>
      </c>
      <c r="H3" s="14">
        <f t="shared" si="0"/>
        <v>1.33333333333333</v>
      </c>
      <c r="I3" s="14">
        <f t="shared" si="1"/>
        <v>0.6666666666666671</v>
      </c>
      <c r="J3" s="14">
        <f t="shared" si="2"/>
        <v>0.6666666666666671</v>
      </c>
      <c r="K3" s="14">
        <f t="shared" si="3"/>
        <v>1.33333333333333</v>
      </c>
      <c r="L3" s="14">
        <f t="shared" si="4"/>
        <v>1.5</v>
      </c>
      <c r="M3" s="14">
        <f t="shared" si="5"/>
        <v>2</v>
      </c>
      <c r="N3" s="15">
        <v>0.5</v>
      </c>
      <c r="O3" s="15">
        <v>0.5</v>
      </c>
    </row>
    <row r="4" spans="1:15" ht="12.75">
      <c r="A4" s="13" t="s">
        <v>29</v>
      </c>
      <c r="B4" s="2">
        <v>2</v>
      </c>
      <c r="C4" s="2">
        <v>3</v>
      </c>
      <c r="D4" s="2">
        <v>4</v>
      </c>
      <c r="E4" s="2">
        <v>2</v>
      </c>
      <c r="F4" s="2">
        <v>0.5</v>
      </c>
      <c r="G4" s="2">
        <v>3</v>
      </c>
      <c r="H4" s="14">
        <f t="shared" si="0"/>
        <v>0.6666666666666671</v>
      </c>
      <c r="I4" s="14">
        <f t="shared" si="1"/>
        <v>1</v>
      </c>
      <c r="J4" s="14">
        <f t="shared" si="2"/>
        <v>1.33333333333333</v>
      </c>
      <c r="K4" s="14">
        <f t="shared" si="3"/>
        <v>0.6666666666666671</v>
      </c>
      <c r="L4" s="14">
        <f t="shared" si="4"/>
        <v>0.75</v>
      </c>
      <c r="M4" s="14">
        <f t="shared" si="5"/>
        <v>1</v>
      </c>
      <c r="N4" s="15">
        <v>0.5</v>
      </c>
      <c r="O4" s="15">
        <v>1</v>
      </c>
    </row>
    <row r="5" spans="1:15" ht="12.75">
      <c r="A5" s="13" t="s">
        <v>30</v>
      </c>
      <c r="B5" s="2">
        <v>4</v>
      </c>
      <c r="C5" s="2">
        <v>3</v>
      </c>
      <c r="D5" s="2">
        <v>2</v>
      </c>
      <c r="E5" s="2">
        <v>3</v>
      </c>
      <c r="F5" s="2">
        <v>1</v>
      </c>
      <c r="G5" s="2">
        <v>4</v>
      </c>
      <c r="H5" s="14">
        <f t="shared" si="0"/>
        <v>1.33333333333333</v>
      </c>
      <c r="I5" s="14">
        <f t="shared" si="1"/>
        <v>1</v>
      </c>
      <c r="J5" s="14">
        <f t="shared" si="2"/>
        <v>0.6666666666666671</v>
      </c>
      <c r="K5" s="14">
        <f t="shared" si="3"/>
        <v>1</v>
      </c>
      <c r="L5" s="14">
        <f t="shared" si="4"/>
        <v>1</v>
      </c>
      <c r="M5" s="14">
        <f t="shared" si="5"/>
        <v>1.33333333333333</v>
      </c>
      <c r="N5" s="15">
        <v>1</v>
      </c>
      <c r="O5" s="15">
        <v>1.5</v>
      </c>
    </row>
    <row r="6" spans="1:15" ht="12.75">
      <c r="A6" s="13" t="s">
        <v>31</v>
      </c>
      <c r="B6" s="2">
        <v>2</v>
      </c>
      <c r="C6" s="2">
        <v>4</v>
      </c>
      <c r="D6" s="2">
        <v>3</v>
      </c>
      <c r="E6" s="2">
        <v>3</v>
      </c>
      <c r="F6" s="2">
        <v>0.5</v>
      </c>
      <c r="G6" s="2">
        <v>3</v>
      </c>
      <c r="H6" s="14">
        <f t="shared" si="0"/>
        <v>0.6666666666666671</v>
      </c>
      <c r="I6" s="14">
        <f t="shared" si="1"/>
        <v>1.33333333333333</v>
      </c>
      <c r="J6" s="14">
        <f t="shared" si="2"/>
        <v>1</v>
      </c>
      <c r="K6" s="14">
        <f t="shared" si="3"/>
        <v>1</v>
      </c>
      <c r="L6" s="14">
        <f t="shared" si="4"/>
        <v>0.75</v>
      </c>
      <c r="M6" s="14">
        <f t="shared" si="5"/>
        <v>1</v>
      </c>
      <c r="N6" s="15">
        <v>0.75</v>
      </c>
      <c r="O6" s="15">
        <v>1.5</v>
      </c>
    </row>
    <row r="7" spans="1:15" ht="12.75">
      <c r="A7" s="13" t="s">
        <v>32</v>
      </c>
      <c r="B7" s="2">
        <v>3</v>
      </c>
      <c r="C7" s="2">
        <v>3</v>
      </c>
      <c r="D7" s="2">
        <v>4</v>
      </c>
      <c r="E7" s="2">
        <v>3</v>
      </c>
      <c r="F7" s="2">
        <v>1</v>
      </c>
      <c r="G7" s="2">
        <v>4</v>
      </c>
      <c r="H7" s="14">
        <f t="shared" si="0"/>
        <v>1</v>
      </c>
      <c r="I7" s="14">
        <f t="shared" si="1"/>
        <v>1</v>
      </c>
      <c r="J7" s="14">
        <f t="shared" si="2"/>
        <v>1.33333333333333</v>
      </c>
      <c r="K7" s="14">
        <f t="shared" si="3"/>
        <v>1</v>
      </c>
      <c r="L7" s="14">
        <f t="shared" si="4"/>
        <v>1</v>
      </c>
      <c r="M7" s="14">
        <f t="shared" si="5"/>
        <v>1.33333333333333</v>
      </c>
      <c r="N7" s="15">
        <v>0.75</v>
      </c>
      <c r="O7" s="15">
        <v>1</v>
      </c>
    </row>
    <row r="8" spans="1:15" ht="12.75">
      <c r="A8" s="13" t="s">
        <v>33</v>
      </c>
      <c r="B8" s="2">
        <v>2</v>
      </c>
      <c r="C8" s="2">
        <v>3</v>
      </c>
      <c r="D8" s="2">
        <v>4</v>
      </c>
      <c r="E8" s="2">
        <v>2</v>
      </c>
      <c r="F8" s="2">
        <v>0.5</v>
      </c>
      <c r="G8" s="2">
        <v>3</v>
      </c>
      <c r="H8" s="14">
        <f t="shared" si="0"/>
        <v>0.6666666666666671</v>
      </c>
      <c r="I8" s="14">
        <f t="shared" si="1"/>
        <v>1</v>
      </c>
      <c r="J8" s="14">
        <f t="shared" si="2"/>
        <v>1.33333333333333</v>
      </c>
      <c r="K8" s="14">
        <f t="shared" si="3"/>
        <v>0.6666666666666671</v>
      </c>
      <c r="L8" s="14">
        <f t="shared" si="4"/>
        <v>0.75</v>
      </c>
      <c r="M8" s="14">
        <f t="shared" si="5"/>
        <v>1</v>
      </c>
      <c r="N8" s="15">
        <v>1</v>
      </c>
      <c r="O8" s="15">
        <v>1.5</v>
      </c>
    </row>
    <row r="9" spans="1:15" ht="12.75">
      <c r="A9" s="1" t="s">
        <v>34</v>
      </c>
      <c r="B9" s="2">
        <v>3</v>
      </c>
      <c r="C9" s="2">
        <v>3</v>
      </c>
      <c r="D9" s="2">
        <v>3</v>
      </c>
      <c r="E9" s="2">
        <v>3</v>
      </c>
      <c r="F9" s="2">
        <v>1</v>
      </c>
      <c r="G9" s="2">
        <v>3</v>
      </c>
      <c r="H9" s="14">
        <f t="shared" si="0"/>
        <v>1</v>
      </c>
      <c r="I9" s="14">
        <f t="shared" si="1"/>
        <v>1</v>
      </c>
      <c r="J9" s="14">
        <f t="shared" si="2"/>
        <v>1</v>
      </c>
      <c r="K9" s="14">
        <f t="shared" si="3"/>
        <v>1</v>
      </c>
      <c r="L9" s="14">
        <f t="shared" si="4"/>
        <v>1</v>
      </c>
      <c r="M9" s="14">
        <f t="shared" si="5"/>
        <v>1</v>
      </c>
      <c r="N9" s="15">
        <v>1</v>
      </c>
      <c r="O9" s="15">
        <v>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Q2" sqref="Q2"/>
    </sheetView>
  </sheetViews>
  <sheetFormatPr defaultColWidth="10.28125" defaultRowHeight="12.75"/>
  <cols>
    <col min="1" max="1" width="11.57421875" style="1" customWidth="1"/>
    <col min="2" max="5" width="7.7109375" style="2" customWidth="1"/>
    <col min="6" max="14" width="7.7109375" style="1" customWidth="1"/>
    <col min="15" max="18" width="7.7109375" style="2" customWidth="1"/>
    <col min="19" max="16384" width="11.57421875" style="1" customWidth="1"/>
  </cols>
  <sheetData>
    <row r="1" spans="1:18" ht="12.75">
      <c r="A1" s="11" t="s">
        <v>2</v>
      </c>
      <c r="B1" s="12" t="s">
        <v>80</v>
      </c>
      <c r="C1" s="16" t="s">
        <v>81</v>
      </c>
      <c r="D1" s="16" t="s">
        <v>82</v>
      </c>
      <c r="E1" s="16" t="s">
        <v>83</v>
      </c>
      <c r="F1" s="12" t="s">
        <v>84</v>
      </c>
      <c r="G1" s="12" t="s">
        <v>85</v>
      </c>
      <c r="H1" s="12" t="s">
        <v>86</v>
      </c>
      <c r="I1" s="12" t="s">
        <v>87</v>
      </c>
      <c r="J1" s="12" t="s">
        <v>88</v>
      </c>
      <c r="K1" s="12" t="s">
        <v>89</v>
      </c>
      <c r="L1" s="12" t="s">
        <v>90</v>
      </c>
      <c r="M1" s="12" t="s">
        <v>91</v>
      </c>
      <c r="N1" s="12" t="s">
        <v>92</v>
      </c>
      <c r="O1" s="16" t="s">
        <v>93</v>
      </c>
      <c r="P1" s="12" t="s">
        <v>7</v>
      </c>
      <c r="Q1" s="12" t="s">
        <v>8</v>
      </c>
      <c r="R1" s="12" t="s">
        <v>15</v>
      </c>
    </row>
    <row r="2" spans="1:18" ht="12.75">
      <c r="A2" s="17" t="s">
        <v>37</v>
      </c>
      <c r="B2" s="18">
        <f>1/16</f>
        <v>0.0625</v>
      </c>
      <c r="C2" s="19">
        <f aca="true" t="shared" si="0" ref="C2:C13">POWER($B2,C$16)</f>
        <v>0.11825720584069901</v>
      </c>
      <c r="D2" s="19">
        <f aca="true" t="shared" si="1" ref="D2:D13">POWER($B2,D$16)</f>
        <v>0.295248165357383</v>
      </c>
      <c r="E2" s="19">
        <f aca="true" t="shared" si="2" ref="E2:E13">POWER($B2,E$16)</f>
        <v>0.543367431263029</v>
      </c>
      <c r="F2" s="2">
        <v>-3</v>
      </c>
      <c r="G2" s="2">
        <v>1</v>
      </c>
      <c r="H2" s="2" t="s">
        <v>94</v>
      </c>
      <c r="I2" s="2">
        <v>1</v>
      </c>
      <c r="J2" s="2" t="s">
        <v>94</v>
      </c>
      <c r="K2" s="2">
        <v>1</v>
      </c>
      <c r="L2" s="2">
        <v>1</v>
      </c>
      <c r="M2" s="2" t="s">
        <v>94</v>
      </c>
      <c r="N2" s="2">
        <v>7</v>
      </c>
      <c r="O2" s="20">
        <f>$O$16*-5</f>
        <v>-6</v>
      </c>
      <c r="P2" s="18">
        <f aca="true" t="shared" si="3" ref="P2:P13">INT(LOG(P$16*$D2,2))</f>
        <v>1</v>
      </c>
      <c r="Q2" s="18">
        <f aca="true" t="shared" si="4" ref="Q2:Q13">INT(LOG(Q$16*(1/$E2),2))</f>
        <v>4</v>
      </c>
      <c r="R2" s="21">
        <f aca="true" t="shared" si="5" ref="R2:R13">($E2*5)+5+$O2+$P2</f>
        <v>2.71683715631514</v>
      </c>
    </row>
    <row r="3" spans="1:18" ht="12.75">
      <c r="A3" s="1" t="s">
        <v>38</v>
      </c>
      <c r="B3" s="18">
        <f>1/8</f>
        <v>0.125</v>
      </c>
      <c r="C3" s="19">
        <f t="shared" si="0"/>
        <v>0.20166043980553203</v>
      </c>
      <c r="D3" s="19">
        <f t="shared" si="1"/>
        <v>0.40053493879481106</v>
      </c>
      <c r="E3" s="19">
        <f t="shared" si="2"/>
        <v>0.63287829698514</v>
      </c>
      <c r="F3" s="2">
        <v>-2</v>
      </c>
      <c r="G3" s="2">
        <v>2</v>
      </c>
      <c r="H3" s="2">
        <v>1</v>
      </c>
      <c r="I3" s="2">
        <v>2</v>
      </c>
      <c r="J3" s="2">
        <v>1</v>
      </c>
      <c r="K3" s="2">
        <v>2</v>
      </c>
      <c r="L3" s="2">
        <v>1</v>
      </c>
      <c r="M3" s="2">
        <v>1</v>
      </c>
      <c r="N3" s="2">
        <v>6</v>
      </c>
      <c r="O3" s="20">
        <f>$O$16*-3</f>
        <v>-3.6</v>
      </c>
      <c r="P3" s="18">
        <f t="shared" si="3"/>
        <v>2</v>
      </c>
      <c r="Q3" s="18">
        <f t="shared" si="4"/>
        <v>3</v>
      </c>
      <c r="R3" s="21">
        <f t="shared" si="5"/>
        <v>6.5643914849257</v>
      </c>
    </row>
    <row r="4" spans="1:18" ht="12.75">
      <c r="A4" s="1" t="s">
        <v>39</v>
      </c>
      <c r="B4" s="18">
        <f>1/4</f>
        <v>0.25</v>
      </c>
      <c r="C4" s="19">
        <f t="shared" si="0"/>
        <v>0.343885454534936</v>
      </c>
      <c r="D4" s="19">
        <f t="shared" si="1"/>
        <v>0.543367431263029</v>
      </c>
      <c r="E4" s="19">
        <f t="shared" si="2"/>
        <v>0.737134608645551</v>
      </c>
      <c r="F4" s="2">
        <v>-1</v>
      </c>
      <c r="G4" s="2">
        <v>3</v>
      </c>
      <c r="H4" s="2">
        <v>2</v>
      </c>
      <c r="I4" s="2">
        <v>3</v>
      </c>
      <c r="J4" s="2">
        <v>2</v>
      </c>
      <c r="K4" s="2">
        <v>3</v>
      </c>
      <c r="L4" s="2">
        <v>2</v>
      </c>
      <c r="M4" s="2">
        <v>2</v>
      </c>
      <c r="N4" s="2">
        <v>6</v>
      </c>
      <c r="O4" s="20">
        <f>$O$16*-2</f>
        <v>-2.4</v>
      </c>
      <c r="P4" s="18">
        <f t="shared" si="3"/>
        <v>2</v>
      </c>
      <c r="Q4" s="18">
        <f t="shared" si="4"/>
        <v>3</v>
      </c>
      <c r="R4" s="21">
        <f t="shared" si="5"/>
        <v>8.28567304322775</v>
      </c>
    </row>
    <row r="5" spans="1:18" ht="12.75">
      <c r="A5" s="1" t="s">
        <v>40</v>
      </c>
      <c r="B5" s="18">
        <f>1/2</f>
        <v>0.5</v>
      </c>
      <c r="C5" s="19">
        <f t="shared" si="0"/>
        <v>0.5864174746159391</v>
      </c>
      <c r="D5" s="19">
        <f t="shared" si="1"/>
        <v>0.737134608645551</v>
      </c>
      <c r="E5" s="19">
        <f t="shared" si="2"/>
        <v>0.8585654364377541</v>
      </c>
      <c r="F5" s="2">
        <v>0</v>
      </c>
      <c r="G5" s="2">
        <v>4</v>
      </c>
      <c r="H5" s="2">
        <v>3</v>
      </c>
      <c r="I5" s="2">
        <v>4</v>
      </c>
      <c r="J5" s="2">
        <v>3</v>
      </c>
      <c r="K5" s="2">
        <v>4</v>
      </c>
      <c r="L5" s="2">
        <v>3</v>
      </c>
      <c r="M5" s="2">
        <v>3</v>
      </c>
      <c r="N5" s="2">
        <v>5</v>
      </c>
      <c r="O5" s="20">
        <f>$O$16*-1</f>
        <v>-1.2</v>
      </c>
      <c r="P5" s="18">
        <f t="shared" si="3"/>
        <v>2</v>
      </c>
      <c r="Q5" s="18">
        <f t="shared" si="4"/>
        <v>3</v>
      </c>
      <c r="R5" s="21">
        <f t="shared" si="5"/>
        <v>10.0928271821888</v>
      </c>
    </row>
    <row r="6" spans="1:18" ht="12.75">
      <c r="A6" s="1" t="s">
        <v>24</v>
      </c>
      <c r="B6" s="18">
        <v>1</v>
      </c>
      <c r="C6" s="19">
        <f t="shared" si="0"/>
        <v>1</v>
      </c>
      <c r="D6" s="19">
        <f t="shared" si="1"/>
        <v>1</v>
      </c>
      <c r="E6" s="19">
        <f t="shared" si="2"/>
        <v>1</v>
      </c>
      <c r="F6" s="2">
        <v>1</v>
      </c>
      <c r="G6" s="2">
        <v>6</v>
      </c>
      <c r="H6" s="2">
        <v>4</v>
      </c>
      <c r="I6" s="2">
        <v>6</v>
      </c>
      <c r="J6" s="2">
        <v>4</v>
      </c>
      <c r="K6" s="2">
        <v>6</v>
      </c>
      <c r="L6" s="2">
        <v>4</v>
      </c>
      <c r="M6" s="2">
        <v>4</v>
      </c>
      <c r="N6" s="2">
        <v>5</v>
      </c>
      <c r="O6" s="20">
        <f>$O$16*0</f>
        <v>0</v>
      </c>
      <c r="P6" s="18">
        <f t="shared" si="3"/>
        <v>3</v>
      </c>
      <c r="Q6" s="18">
        <f t="shared" si="4"/>
        <v>3</v>
      </c>
      <c r="R6" s="21">
        <f t="shared" si="5"/>
        <v>13</v>
      </c>
    </row>
    <row r="7" spans="1:18" ht="12.75">
      <c r="A7" s="1" t="s">
        <v>41</v>
      </c>
      <c r="B7" s="18">
        <v>2</v>
      </c>
      <c r="C7" s="19">
        <f t="shared" si="0"/>
        <v>1.7052697835359099</v>
      </c>
      <c r="D7" s="19">
        <f t="shared" si="1"/>
        <v>1.35660432744767</v>
      </c>
      <c r="E7" s="19">
        <f t="shared" si="2"/>
        <v>1.16473358646846</v>
      </c>
      <c r="F7" s="2">
        <v>2</v>
      </c>
      <c r="G7" s="2">
        <v>8</v>
      </c>
      <c r="H7" s="2">
        <v>6</v>
      </c>
      <c r="I7" s="2">
        <v>8</v>
      </c>
      <c r="J7" s="2">
        <v>6</v>
      </c>
      <c r="K7" s="2">
        <v>8</v>
      </c>
      <c r="L7" s="2">
        <v>6</v>
      </c>
      <c r="M7" s="2">
        <v>6</v>
      </c>
      <c r="N7" s="2">
        <v>4</v>
      </c>
      <c r="O7" s="20">
        <f>$O$16*2</f>
        <v>2.4</v>
      </c>
      <c r="P7" s="18">
        <f t="shared" si="3"/>
        <v>3</v>
      </c>
      <c r="Q7" s="18">
        <f t="shared" si="4"/>
        <v>3</v>
      </c>
      <c r="R7" s="21">
        <f t="shared" si="5"/>
        <v>16.2236679323423</v>
      </c>
    </row>
    <row r="8" spans="1:18" ht="12.75">
      <c r="A8" s="1" t="s">
        <v>42</v>
      </c>
      <c r="B8" s="18">
        <v>4</v>
      </c>
      <c r="C8" s="19">
        <f t="shared" si="0"/>
        <v>2.90794503464062</v>
      </c>
      <c r="D8" s="19">
        <f t="shared" si="1"/>
        <v>1.84037530124975</v>
      </c>
      <c r="E8" s="19">
        <f t="shared" si="2"/>
        <v>1.35660432744767</v>
      </c>
      <c r="F8" s="2">
        <v>3</v>
      </c>
      <c r="G8" s="2">
        <v>12</v>
      </c>
      <c r="H8" s="2">
        <v>8</v>
      </c>
      <c r="I8" s="2">
        <v>12</v>
      </c>
      <c r="J8" s="2">
        <v>8</v>
      </c>
      <c r="K8" s="2">
        <v>12</v>
      </c>
      <c r="L8" s="2">
        <v>8</v>
      </c>
      <c r="M8" s="2">
        <v>8</v>
      </c>
      <c r="N8" s="2">
        <v>4</v>
      </c>
      <c r="O8" s="20">
        <f>$O$16*5</f>
        <v>6</v>
      </c>
      <c r="P8" s="18">
        <f t="shared" si="3"/>
        <v>4</v>
      </c>
      <c r="Q8" s="18">
        <f t="shared" si="4"/>
        <v>2</v>
      </c>
      <c r="R8" s="21">
        <f t="shared" si="5"/>
        <v>21.7830216372384</v>
      </c>
    </row>
    <row r="9" spans="1:18" ht="12.75">
      <c r="A9" s="1" t="s">
        <v>43</v>
      </c>
      <c r="B9" s="18">
        <v>8</v>
      </c>
      <c r="C9" s="19">
        <f t="shared" si="0"/>
        <v>4.95883079975595</v>
      </c>
      <c r="D9" s="19">
        <f t="shared" si="1"/>
        <v>2.49666109780322</v>
      </c>
      <c r="E9" s="19">
        <f t="shared" si="2"/>
        <v>1.58008262372675</v>
      </c>
      <c r="F9" s="2">
        <v>4</v>
      </c>
      <c r="G9" s="2">
        <v>16</v>
      </c>
      <c r="H9" s="2">
        <v>12</v>
      </c>
      <c r="I9" s="2">
        <v>16</v>
      </c>
      <c r="J9" s="2">
        <v>12</v>
      </c>
      <c r="K9" s="2">
        <v>16</v>
      </c>
      <c r="L9" s="2">
        <v>12</v>
      </c>
      <c r="M9" s="2">
        <v>12</v>
      </c>
      <c r="N9" s="2">
        <v>3</v>
      </c>
      <c r="O9" s="20">
        <f>$O$16*7</f>
        <v>8.4</v>
      </c>
      <c r="P9" s="18">
        <f t="shared" si="3"/>
        <v>4</v>
      </c>
      <c r="Q9" s="18">
        <f t="shared" si="4"/>
        <v>2</v>
      </c>
      <c r="R9" s="21">
        <f t="shared" si="5"/>
        <v>25.3004131186338</v>
      </c>
    </row>
    <row r="10" spans="1:18" ht="12.75">
      <c r="A10" s="1" t="s">
        <v>44</v>
      </c>
      <c r="B10" s="18">
        <v>16</v>
      </c>
      <c r="C10" s="19">
        <f t="shared" si="0"/>
        <v>8.45614432449104</v>
      </c>
      <c r="D10" s="19">
        <f t="shared" si="1"/>
        <v>3.38698124945011</v>
      </c>
      <c r="E10" s="19">
        <f t="shared" si="2"/>
        <v>1.84037530124975</v>
      </c>
      <c r="F10" s="2">
        <v>5</v>
      </c>
      <c r="G10" s="2">
        <v>24</v>
      </c>
      <c r="H10" s="2">
        <v>16</v>
      </c>
      <c r="I10" s="2">
        <v>24</v>
      </c>
      <c r="J10" s="2">
        <v>16</v>
      </c>
      <c r="K10" s="2">
        <v>24</v>
      </c>
      <c r="L10" s="2">
        <v>18</v>
      </c>
      <c r="M10" s="2">
        <v>24</v>
      </c>
      <c r="N10" s="2">
        <v>3</v>
      </c>
      <c r="O10" s="20">
        <f>$O$16*10</f>
        <v>12</v>
      </c>
      <c r="P10" s="18">
        <f t="shared" si="3"/>
        <v>5</v>
      </c>
      <c r="Q10" s="18">
        <f t="shared" si="4"/>
        <v>2</v>
      </c>
      <c r="R10" s="21">
        <f t="shared" si="5"/>
        <v>31.2018765062488</v>
      </c>
    </row>
    <row r="11" spans="1:18" ht="12.75">
      <c r="A11" s="1" t="s">
        <v>45</v>
      </c>
      <c r="B11" s="18">
        <v>32</v>
      </c>
      <c r="C11" s="19">
        <f t="shared" si="0"/>
        <v>14.4200074017733</v>
      </c>
      <c r="D11" s="19">
        <f t="shared" si="1"/>
        <v>4.5947934199881395</v>
      </c>
      <c r="E11" s="19">
        <f t="shared" si="2"/>
        <v>2.14354692507259</v>
      </c>
      <c r="F11" s="2">
        <v>6</v>
      </c>
      <c r="G11" s="2">
        <v>32</v>
      </c>
      <c r="H11" s="2">
        <v>24</v>
      </c>
      <c r="I11" s="2">
        <v>32</v>
      </c>
      <c r="J11" s="2">
        <v>24</v>
      </c>
      <c r="K11" s="2">
        <v>32</v>
      </c>
      <c r="L11" s="2">
        <v>36</v>
      </c>
      <c r="M11" s="2">
        <v>36</v>
      </c>
      <c r="N11" s="2">
        <v>2</v>
      </c>
      <c r="O11" s="20">
        <f>$O$16*15</f>
        <v>18</v>
      </c>
      <c r="P11" s="18">
        <f t="shared" si="3"/>
        <v>5</v>
      </c>
      <c r="Q11" s="18">
        <f t="shared" si="4"/>
        <v>2</v>
      </c>
      <c r="R11" s="21">
        <f t="shared" si="5"/>
        <v>38.7177346253629</v>
      </c>
    </row>
    <row r="12" spans="1:18" ht="12.75">
      <c r="A12" s="1" t="s">
        <v>46</v>
      </c>
      <c r="B12" s="18">
        <v>64</v>
      </c>
      <c r="C12" s="19">
        <f t="shared" si="0"/>
        <v>24.5900029006082</v>
      </c>
      <c r="D12" s="19">
        <f t="shared" si="1"/>
        <v>6.233316637284</v>
      </c>
      <c r="E12" s="19">
        <f t="shared" si="2"/>
        <v>2.49666109780322</v>
      </c>
      <c r="F12" s="2">
        <v>7</v>
      </c>
      <c r="G12" s="2">
        <v>36</v>
      </c>
      <c r="H12" s="2">
        <v>32</v>
      </c>
      <c r="I12" s="2">
        <v>36</v>
      </c>
      <c r="J12" s="2">
        <v>32</v>
      </c>
      <c r="K12" s="2">
        <v>36</v>
      </c>
      <c r="L12" s="2">
        <v>54</v>
      </c>
      <c r="M12" s="2">
        <v>60</v>
      </c>
      <c r="N12" s="2">
        <v>2</v>
      </c>
      <c r="O12" s="20">
        <f>$O$16*20</f>
        <v>24</v>
      </c>
      <c r="P12" s="18">
        <f t="shared" si="3"/>
        <v>5</v>
      </c>
      <c r="Q12" s="18">
        <f t="shared" si="4"/>
        <v>2</v>
      </c>
      <c r="R12" s="21">
        <f t="shared" si="5"/>
        <v>46.4833054890161</v>
      </c>
    </row>
    <row r="13" spans="1:18" ht="12.75">
      <c r="A13" s="1" t="s">
        <v>48</v>
      </c>
      <c r="B13" s="18">
        <v>128</v>
      </c>
      <c r="C13" s="19">
        <f t="shared" si="0"/>
        <v>41.9325889234676</v>
      </c>
      <c r="D13" s="19">
        <f t="shared" si="1"/>
        <v>8.45614432449104</v>
      </c>
      <c r="E13" s="19">
        <f t="shared" si="2"/>
        <v>2.90794503464062</v>
      </c>
      <c r="F13" s="2">
        <v>8</v>
      </c>
      <c r="G13" s="2">
        <v>40</v>
      </c>
      <c r="H13" s="2">
        <v>36</v>
      </c>
      <c r="I13" s="2">
        <v>40</v>
      </c>
      <c r="J13" s="2">
        <v>36</v>
      </c>
      <c r="K13" s="2">
        <v>40</v>
      </c>
      <c r="L13" s="2">
        <v>72</v>
      </c>
      <c r="M13" s="2">
        <v>72</v>
      </c>
      <c r="N13" s="2">
        <v>1</v>
      </c>
      <c r="O13" s="20">
        <f>$O$16*25</f>
        <v>30</v>
      </c>
      <c r="P13" s="18">
        <f t="shared" si="3"/>
        <v>6</v>
      </c>
      <c r="Q13" s="18">
        <f t="shared" si="4"/>
        <v>1</v>
      </c>
      <c r="R13" s="21">
        <f t="shared" si="5"/>
        <v>55.5397251732031</v>
      </c>
    </row>
    <row r="14" spans="3:15" ht="12.75">
      <c r="C14" s="9"/>
      <c r="D14" s="9"/>
      <c r="E14" s="9"/>
      <c r="G14" s="11" t="s">
        <v>95</v>
      </c>
      <c r="O14" s="9"/>
    </row>
    <row r="15" spans="3:15" ht="12.75">
      <c r="C15" s="9"/>
      <c r="D15" s="9"/>
      <c r="E15" s="9"/>
      <c r="G15" s="22" t="s">
        <v>96</v>
      </c>
      <c r="O15" s="9"/>
    </row>
    <row r="16" spans="3:17" ht="12.75">
      <c r="C16" s="9">
        <v>0.77</v>
      </c>
      <c r="D16" s="9">
        <v>0.44</v>
      </c>
      <c r="E16" s="9">
        <v>0.22</v>
      </c>
      <c r="G16" s="22" t="s">
        <v>97</v>
      </c>
      <c r="O16" s="9">
        <v>1.2</v>
      </c>
      <c r="P16" s="2">
        <v>10</v>
      </c>
      <c r="Q16" s="2">
        <v>10</v>
      </c>
    </row>
    <row r="17" spans="3:15" ht="12.75">
      <c r="C17" s="9"/>
      <c r="D17" s="9"/>
      <c r="E17" s="9"/>
      <c r="G17" s="22" t="s">
        <v>98</v>
      </c>
      <c r="O17" s="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Reibenschuh</dc:creator>
  <cp:keywords/>
  <dc:description/>
  <cp:lastModifiedBy>Alfred Reibenschuh</cp:lastModifiedBy>
  <dcterms:created xsi:type="dcterms:W3CDTF">2018-09-14T03:19:46Z</dcterms:created>
  <dcterms:modified xsi:type="dcterms:W3CDTF">2018-09-24T00:50:34Z</dcterms:modified>
  <cp:category/>
  <cp:version/>
  <cp:contentType/>
  <cp:contentStatus/>
  <cp:revision>4</cp:revision>
</cp:coreProperties>
</file>