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4.xml.rels" ContentType="application/vnd.openxmlformats-package.relationships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tats" sheetId="1" state="visible" r:id="rId2"/>
    <sheet name="Type" sheetId="2" state="visible" r:id="rId3"/>
    <sheet name="Movement" sheetId="3" state="visible" r:id="rId4"/>
    <sheet name="Category" sheetId="4" state="visible" r:id="rId5"/>
    <sheet name="Role" sheetId="5" state="visible" r:id="rId6"/>
    <sheet name="Size" sheetId="6" state="visible" r:id="rId7"/>
    <sheet name="RoleMaster_Stats" sheetId="7" state="visible" r:id="rId8"/>
  </sheets>
  <definedNames>
    <definedName function="false" hidden="true" localSheetId="3" name="_xlnm._FilterDatabase" vbProcedure="false">Category!$A$1:$AE$19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<sst xmlns="http://schemas.openxmlformats.org/spreadsheetml/2006/main" count="794" uniqueCount="139">
  <si>
    <t xml:space="preserve">Name</t>
  </si>
  <si>
    <t xml:space="preserve">Threat</t>
  </si>
  <si>
    <t xml:space="preserve">Type</t>
  </si>
  <si>
    <t xml:space="preserve">Size</t>
  </si>
  <si>
    <t xml:space="preserve">Role</t>
  </si>
  <si>
    <t xml:space="preserve">Category</t>
  </si>
  <si>
    <t xml:space="preserve">Legged</t>
  </si>
  <si>
    <t xml:space="preserve">SIL</t>
  </si>
  <si>
    <t xml:space="preserve">BRN</t>
  </si>
  <si>
    <t xml:space="preserve">AGL</t>
  </si>
  <si>
    <t xml:space="preserve">INT</t>
  </si>
  <si>
    <t xml:space="preserve">CUN</t>
  </si>
  <si>
    <t xml:space="preserve">WPR</t>
  </si>
  <si>
    <t xml:space="preserve">PRE</t>
  </si>
  <si>
    <t xml:space="preserve">WS</t>
  </si>
  <si>
    <t xml:space="preserve">RS</t>
  </si>
  <si>
    <t xml:space="preserve">ES</t>
  </si>
  <si>
    <t xml:space="preserve">WT1</t>
  </si>
  <si>
    <t xml:space="preserve">WT2</t>
  </si>
  <si>
    <t xml:space="preserve">ST</t>
  </si>
  <si>
    <t xml:space="preserve">SK</t>
  </si>
  <si>
    <t xml:space="preserve">INI</t>
  </si>
  <si>
    <t xml:space="preserve">MOV</t>
  </si>
  <si>
    <t xml:space="preserve">pBRN</t>
  </si>
  <si>
    <t xml:space="preserve">tBRN</t>
  </si>
  <si>
    <t xml:space="preserve">pAGL</t>
  </si>
  <si>
    <t xml:space="preserve">tAGL</t>
  </si>
  <si>
    <t xml:space="preserve">nWPR</t>
  </si>
  <si>
    <t xml:space="preserve">xWPR</t>
  </si>
  <si>
    <t xml:space="preserve">mWPR</t>
  </si>
  <si>
    <t xml:space="preserve">nPRE</t>
  </si>
  <si>
    <t xml:space="preserve">xPRE</t>
  </si>
  <si>
    <t xml:space="preserve">mPRE</t>
  </si>
  <si>
    <t xml:space="preserve">nCUN</t>
  </si>
  <si>
    <t xml:space="preserve">xCUN</t>
  </si>
  <si>
    <t xml:space="preserve">mCUN</t>
  </si>
  <si>
    <t xml:space="preserve">nINT</t>
  </si>
  <si>
    <t xml:space="preserve">xINT</t>
  </si>
  <si>
    <t xml:space="preserve">mINT</t>
  </si>
  <si>
    <t xml:space="preserve">uINT</t>
  </si>
  <si>
    <t xml:space="preserve">nAGL</t>
  </si>
  <si>
    <t xml:space="preserve">xAGL</t>
  </si>
  <si>
    <t xml:space="preserve">sAGL</t>
  </si>
  <si>
    <t xml:space="preserve">nBRN</t>
  </si>
  <si>
    <t xml:space="preserve">xBRN</t>
  </si>
  <si>
    <t xml:space="preserve">sBRN</t>
  </si>
  <si>
    <t xml:space="preserve">rBRN</t>
  </si>
  <si>
    <t xml:space="preserve">bWT</t>
  </si>
  <si>
    <t xml:space="preserve">mWT</t>
  </si>
  <si>
    <t xml:space="preserve">rWT</t>
  </si>
  <si>
    <t xml:space="preserve">tWT</t>
  </si>
  <si>
    <t xml:space="preserve">Rival</t>
  </si>
  <si>
    <t xml:space="preserve">Medium</t>
  </si>
  <si>
    <t xml:space="preserve">Artillery </t>
  </si>
  <si>
    <t xml:space="preserve">Elemental</t>
  </si>
  <si>
    <t xml:space="preserve">Biped</t>
  </si>
  <si>
    <t xml:space="preserve">Brute </t>
  </si>
  <si>
    <t xml:space="preserve">Minion</t>
  </si>
  <si>
    <t xml:space="preserve">Expert </t>
  </si>
  <si>
    <t xml:space="preserve">Ninja </t>
  </si>
  <si>
    <t xml:space="preserve">Skirmisher </t>
  </si>
  <si>
    <t xml:space="preserve">Support </t>
  </si>
  <si>
    <t xml:space="preserve">Trickster </t>
  </si>
  <si>
    <t xml:space="preserve">Monstrosity</t>
  </si>
  <si>
    <t xml:space="preserve">Fiend</t>
  </si>
  <si>
    <t xml:space="preserve">Minuscule</t>
  </si>
  <si>
    <t xml:space="preserve">Mob</t>
  </si>
  <si>
    <t xml:space="preserve">Animal</t>
  </si>
  <si>
    <t xml:space="preserve">Diminutive</t>
  </si>
  <si>
    <t xml:space="preserve">Tiny</t>
  </si>
  <si>
    <t xml:space="preserve">Small</t>
  </si>
  <si>
    <t xml:space="preserve">Big</t>
  </si>
  <si>
    <t xml:space="preserve">Large</t>
  </si>
  <si>
    <t xml:space="preserve">Huge</t>
  </si>
  <si>
    <t xml:space="preserve">Gargantuan</t>
  </si>
  <si>
    <t xml:space="preserve">Colossal</t>
  </si>
  <si>
    <t xml:space="preserve">Titanic</t>
  </si>
  <si>
    <t xml:space="preserve">Humanoid</t>
  </si>
  <si>
    <t xml:space="preserve">Megalomanic</t>
  </si>
  <si>
    <t xml:space="preserve">Quadruped</t>
  </si>
  <si>
    <t xml:space="preserve">Beast</t>
  </si>
  <si>
    <t xml:space="preserve">Nemesis</t>
  </si>
  <si>
    <t xml:space="preserve">Movement Type</t>
  </si>
  <si>
    <t xml:space="preserve">BMR</t>
  </si>
  <si>
    <t xml:space="preserve">mMOV</t>
  </si>
  <si>
    <t xml:space="preserve">Multiped</t>
  </si>
  <si>
    <t xml:space="preserve">Octuped</t>
  </si>
  <si>
    <t xml:space="preserve">Hexaped</t>
  </si>
  <si>
    <t xml:space="preserve">Sharded</t>
  </si>
  <si>
    <t xml:space="preserve">Cunning</t>
  </si>
  <si>
    <t xml:space="preserve">Intellect</t>
  </si>
  <si>
    <t xml:space="preserve">Dexterity</t>
  </si>
  <si>
    <t xml:space="preserve">Presence</t>
  </si>
  <si>
    <t xml:space="preserve">Willpower</t>
  </si>
  <si>
    <t xml:space="preserve">Physique</t>
  </si>
  <si>
    <t xml:space="preserve">Aberration</t>
  </si>
  <si>
    <t xml:space="preserve">Celestial</t>
  </si>
  <si>
    <t xml:space="preserve">Construct</t>
  </si>
  <si>
    <t xml:space="preserve">Dragon</t>
  </si>
  <si>
    <t xml:space="preserve">Fey</t>
  </si>
  <si>
    <t xml:space="preserve">Giant</t>
  </si>
  <si>
    <t xml:space="preserve">Magical Beast</t>
  </si>
  <si>
    <t xml:space="preserve">Ooze</t>
  </si>
  <si>
    <t xml:space="preserve">Outsider</t>
  </si>
  <si>
    <t xml:space="preserve">Plant</t>
  </si>
  <si>
    <t xml:space="preserve">Shapechanger</t>
  </si>
  <si>
    <t xml:space="preserve">Undead</t>
  </si>
  <si>
    <t xml:space="preserve">Melee</t>
  </si>
  <si>
    <t xml:space="preserve">Ranged</t>
  </si>
  <si>
    <t xml:space="preserve">Mental</t>
  </si>
  <si>
    <t xml:space="preserve">Vital</t>
  </si>
  <si>
    <t xml:space="preserve">SKM</t>
  </si>
  <si>
    <t xml:space="preserve">VTM</t>
  </si>
  <si>
    <t xml:space="preserve">INIM</t>
  </si>
  <si>
    <t xml:space="preserve">SPDM</t>
  </si>
  <si>
    <t xml:space="preserve">ESM</t>
  </si>
  <si>
    <t xml:space="preserve">Multiplier</t>
  </si>
  <si>
    <t xml:space="preserve">M#2</t>
  </si>
  <si>
    <t xml:space="preserve">M#3</t>
  </si>
  <si>
    <t xml:space="preserve">M#4</t>
  </si>
  <si>
    <t xml:space="preserve">Silhouette</t>
  </si>
  <si>
    <t xml:space="preserve">Bite</t>
  </si>
  <si>
    <t xml:space="preserve">Claw</t>
  </si>
  <si>
    <t xml:space="preserve">Gore</t>
  </si>
  <si>
    <t xml:space="preserve">(#1)</t>
  </si>
  <si>
    <t xml:space="preserve">(#2)</t>
  </si>
  <si>
    <t xml:space="preserve">(#3)</t>
  </si>
  <si>
    <t xml:space="preserve">(#4)</t>
  </si>
  <si>
    <t xml:space="preserve">CR</t>
  </si>
  <si>
    <t xml:space="preserve">WTM</t>
  </si>
  <si>
    <t xml:space="preserve">WT</t>
  </si>
  <si>
    <t xml:space="preserve">-</t>
  </si>
  <si>
    <t xml:space="preserve">#1 – Hoof (L), Tentacle (N), Wings (N)</t>
  </si>
  <si>
    <t xml:space="preserve">#2 – Pincers (L), Tail Slap (N)</t>
  </si>
  <si>
    <t xml:space="preserve">#3 – Slam (N), Sting (L), Talons (L)</t>
  </si>
  <si>
    <t xml:space="preserve">#4 – Other (N/L)</t>
  </si>
  <si>
    <t xml:space="preserve">LEVEL vs DICE</t>
  </si>
  <si>
    <t xml:space="preserve">LEVEL</t>
  </si>
  <si>
    <t xml:space="preserve">DICE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</si>
</sst>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.00"/>
    <numFmt numFmtId="166" formatCode="#,##0.00"/>
    <numFmt numFmtId="167" formatCode="#,##0"/>
    <numFmt numFmtId="168" formatCode="0.0000"/>
    <numFmt numFmtId="169" formatCode="0.000"/>
    <numFmt numFmtId="170" formatCode="\+0;\-0"/>
    <numFmt numFmtId="171" formatCode="0"/>
    <numFmt numFmtId="172" formatCode="0.0"/>
  </numFmts>
  <fonts count="2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FreeSans"/>
      <family val="2"/>
    </font>
    <font>
      <sz val="10"/>
      <name val="FreeSans"/>
      <family val="2"/>
    </font>
    <font>
      <sz val="10"/>
      <color rgb="FF333333"/>
      <name val="FreeSans"/>
      <family val="2"/>
    </font>
    <font>
      <sz val="10"/>
      <color rgb="FF808080"/>
      <name val="FreeSans"/>
      <family val="2"/>
    </font>
    <font>
      <u val="single"/>
      <sz val="10"/>
      <color rgb="FF0000EE"/>
      <name val="FreeSans"/>
      <family val="2"/>
    </font>
    <font>
      <sz val="10"/>
      <color rgb="FF006600"/>
      <name val="FreeSans"/>
      <family val="2"/>
    </font>
    <font>
      <sz val="10"/>
      <color rgb="FF996600"/>
      <name val="FreeSans"/>
      <family val="2"/>
    </font>
    <font>
      <sz val="10"/>
      <color rgb="FFCC0000"/>
      <name val="FreeSans"/>
      <family val="2"/>
    </font>
    <font>
      <sz val="10"/>
      <color rgb="FFFFFFFF"/>
      <name val="FreeSans"/>
      <family val="2"/>
    </font>
    <font>
      <sz val="9"/>
      <name val="Arial"/>
      <family val="2"/>
    </font>
    <font>
      <i val="true"/>
      <sz val="9"/>
      <name val="Arial"/>
      <family val="2"/>
    </font>
    <font>
      <b val="true"/>
      <sz val="9"/>
      <name val="Arial"/>
      <family val="2"/>
    </font>
    <font>
      <b val="true"/>
      <sz val="10"/>
      <name val="Arial"/>
      <family val="2"/>
    </font>
    <font>
      <sz val="9"/>
      <color rgb="FF000000"/>
      <name val="Arial"/>
      <family val="2"/>
    </font>
    <font>
      <b val="true"/>
      <sz val="9"/>
      <color rgb="FF000000"/>
      <name val="Arial"/>
      <family val="2"/>
    </font>
    <font>
      <b val="true"/>
      <i val="true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8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2" fillId="6" borderId="0" applyFont="true" applyBorder="false" applyAlignment="false" applyProtection="false"/>
    <xf numFmtId="164" fontId="12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4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4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</cellStyles>
  <dxfs count="1">
    <dxf>
      <font>
        <name val="FreeSans"/>
        <family val="2"/>
        <color rgb="FF996600"/>
      </font>
      <fill>
        <patternFill>
          <bgColor rgb="FFFFFFCC"/>
        </patternFill>
      </fill>
    </dxf>
  </dxf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3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6" ySplit="1" topLeftCell="AA2" activePane="bottomRight" state="frozen"/>
      <selection pane="topLeft" activeCell="A1" activeCellId="0" sqref="A1"/>
      <selection pane="topRight" activeCell="AA1" activeCellId="0" sqref="AA1"/>
      <selection pane="bottomLeft" activeCell="A2" activeCellId="0" sqref="A2"/>
      <selection pane="bottomRight" activeCell="E4" activeCellId="0" sqref="E4"/>
    </sheetView>
  </sheetViews>
  <sheetFormatPr defaultRowHeight="12.8" zeroHeight="false" outlineLevelRow="0" outlineLevelCol="0"/>
  <cols>
    <col collapsed="false" customWidth="false" hidden="false" outlineLevel="0" max="1" min="1" style="1" width="11.52"/>
    <col collapsed="false" customWidth="true" hidden="false" outlineLevel="0" max="2" min="2" style="2" width="6.39"/>
    <col collapsed="false" customWidth="true" hidden="false" outlineLevel="0" max="3" min="3" style="3" width="8.19"/>
    <col collapsed="false" customWidth="false" hidden="false" outlineLevel="0" max="6" min="4" style="1" width="11.52"/>
    <col collapsed="false" customWidth="true" hidden="false" outlineLevel="0" max="7" min="7" style="1" width="12.22"/>
    <col collapsed="false" customWidth="true" hidden="false" outlineLevel="0" max="8" min="8" style="4" width="4.99"/>
    <col collapsed="false" customWidth="true" hidden="false" outlineLevel="0" max="9" min="9" style="4" width="2.49"/>
    <col collapsed="false" customWidth="true" hidden="false" outlineLevel="0" max="15" min="10" style="4" width="4.99"/>
    <col collapsed="false" customWidth="true" hidden="false" outlineLevel="0" max="16" min="16" style="4" width="2.49"/>
    <col collapsed="false" customWidth="true" hidden="false" outlineLevel="0" max="23" min="17" style="4" width="4.99"/>
    <col collapsed="false" customWidth="true" hidden="false" outlineLevel="0" max="24" min="24" style="2" width="2.49"/>
    <col collapsed="false" customWidth="true" hidden="false" outlineLevel="0" max="26" min="25" style="2" width="4.99"/>
    <col collapsed="false" customWidth="true" hidden="false" outlineLevel="0" max="27" min="27" style="1" width="4.99"/>
    <col collapsed="false" customWidth="true" hidden="false" outlineLevel="0" max="31" min="28" style="5" width="4.99"/>
    <col collapsed="false" customWidth="true" hidden="false" outlineLevel="0" max="32" min="32" style="1" width="2.49"/>
    <col collapsed="false" customWidth="true" hidden="false" outlineLevel="0" max="35" min="33" style="6" width="4.99"/>
    <col collapsed="false" customWidth="true" hidden="false" outlineLevel="0" max="45" min="36" style="5" width="4.99"/>
    <col collapsed="false" customWidth="true" hidden="false" outlineLevel="0" max="52" min="46" style="7" width="4.99"/>
    <col collapsed="false" customWidth="true" hidden="false" outlineLevel="0" max="53" min="53" style="1" width="5.14"/>
    <col collapsed="false" customWidth="true" hidden="false" outlineLevel="0" max="57" min="54" style="5" width="5.14"/>
    <col collapsed="false" customWidth="false" hidden="false" outlineLevel="0" max="1023" min="58" style="1" width="11.52"/>
    <col collapsed="false" customWidth="false" hidden="false" outlineLevel="0" max="1025" min="1024" style="0" width="11.52"/>
  </cols>
  <sheetData>
    <row r="1" s="11" customFormat="true" ht="12.8" hidden="false" customHeight="false" outlineLevel="0" collapsed="false">
      <c r="A1" s="8" t="s">
        <v>0</v>
      </c>
      <c r="B1" s="9" t="s">
        <v>1</v>
      </c>
      <c r="C1" s="10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9" t="s">
        <v>7</v>
      </c>
      <c r="I1" s="9"/>
      <c r="J1" s="9" t="s">
        <v>8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/>
      <c r="Q1" s="9" t="s">
        <v>14</v>
      </c>
      <c r="R1" s="9" t="s">
        <v>15</v>
      </c>
      <c r="S1" s="9" t="s">
        <v>16</v>
      </c>
      <c r="T1" s="9" t="s">
        <v>17</v>
      </c>
      <c r="U1" s="9" t="s">
        <v>18</v>
      </c>
      <c r="V1" s="9" t="s">
        <v>19</v>
      </c>
      <c r="W1" s="9" t="s">
        <v>20</v>
      </c>
      <c r="X1" s="4"/>
      <c r="Y1" s="9" t="s">
        <v>21</v>
      </c>
      <c r="Z1" s="9" t="s">
        <v>22</v>
      </c>
      <c r="AB1" s="5" t="s">
        <v>23</v>
      </c>
      <c r="AC1" s="5" t="s">
        <v>24</v>
      </c>
      <c r="AD1" s="5" t="s">
        <v>25</v>
      </c>
      <c r="AE1" s="5" t="s">
        <v>26</v>
      </c>
      <c r="AG1" s="6" t="s">
        <v>27</v>
      </c>
      <c r="AH1" s="6" t="s">
        <v>28</v>
      </c>
      <c r="AI1" s="6" t="s">
        <v>29</v>
      </c>
      <c r="AJ1" s="5" t="s">
        <v>30</v>
      </c>
      <c r="AK1" s="5" t="s">
        <v>31</v>
      </c>
      <c r="AL1" s="5" t="s">
        <v>32</v>
      </c>
      <c r="AM1" s="5" t="s">
        <v>33</v>
      </c>
      <c r="AN1" s="5" t="s">
        <v>34</v>
      </c>
      <c r="AO1" s="5" t="s">
        <v>35</v>
      </c>
      <c r="AP1" s="5" t="s">
        <v>36</v>
      </c>
      <c r="AQ1" s="5" t="s">
        <v>37</v>
      </c>
      <c r="AR1" s="5" t="s">
        <v>38</v>
      </c>
      <c r="AS1" s="5" t="s">
        <v>39</v>
      </c>
      <c r="AT1" s="7" t="s">
        <v>40</v>
      </c>
      <c r="AU1" s="7" t="s">
        <v>41</v>
      </c>
      <c r="AV1" s="7" t="s">
        <v>42</v>
      </c>
      <c r="AW1" s="7" t="s">
        <v>43</v>
      </c>
      <c r="AX1" s="7" t="s">
        <v>44</v>
      </c>
      <c r="AY1" s="7" t="s">
        <v>45</v>
      </c>
      <c r="AZ1" s="7" t="s">
        <v>46</v>
      </c>
      <c r="BB1" s="5" t="s">
        <v>47</v>
      </c>
      <c r="BC1" s="5" t="s">
        <v>48</v>
      </c>
      <c r="BD1" s="5" t="s">
        <v>49</v>
      </c>
      <c r="BE1" s="5" t="s">
        <v>50</v>
      </c>
      <c r="AMJ1" s="0"/>
    </row>
    <row r="2" customFormat="false" ht="12.8" hidden="false" customHeight="false" outlineLevel="0" collapsed="false">
      <c r="B2" s="2" t="n">
        <v>2</v>
      </c>
      <c r="C2" s="3" t="s">
        <v>51</v>
      </c>
      <c r="D2" s="1" t="s">
        <v>52</v>
      </c>
      <c r="E2" s="1" t="s">
        <v>53</v>
      </c>
      <c r="F2" s="1" t="s">
        <v>54</v>
      </c>
      <c r="G2" s="1" t="s">
        <v>55</v>
      </c>
      <c r="H2" s="4" t="n">
        <f aca="false">VLOOKUP($D2,Size!$A$2:$F$13,6,0)</f>
        <v>1</v>
      </c>
      <c r="J2" s="12" t="n">
        <f aca="false">INT(($B2*$AY2*$AW2*$AZ2)+($B2*$AX2))</f>
        <v>1</v>
      </c>
      <c r="K2" s="4" t="n">
        <f aca="false">ROUND((($B2*$AT2)+($AV2*$AU2)),0)</f>
        <v>2</v>
      </c>
      <c r="L2" s="4" t="n">
        <f aca="false">ROUND((($B2*$AP2)+($B2*$AQ2))*$AR2,0)</f>
        <v>2</v>
      </c>
      <c r="M2" s="4" t="n">
        <f aca="false">ROUND((($B2*$AM2)+($B2*$AN2))*$AO2,0)</f>
        <v>1</v>
      </c>
      <c r="N2" s="4" t="n">
        <f aca="false">ROUND((($B2*$AG2)+($B2*$AH2))*$AI2,0)</f>
        <v>1</v>
      </c>
      <c r="O2" s="4" t="n">
        <f aca="false">ROUND((($B2*$AJ2)+($B2*$AK2))*$AL2,0)</f>
        <v>2</v>
      </c>
      <c r="Q2" s="4" t="n">
        <f aca="false">INT(VLOOKUP($E2,Role!$A$2:$O$9,8,0)*$B2)</f>
        <v>1</v>
      </c>
      <c r="R2" s="4" t="n">
        <f aca="false">INT(VLOOKUP($E2,Role!$A$2:$O$9,9,0)*$B2)</f>
        <v>2</v>
      </c>
      <c r="S2" s="4" t="n">
        <f aca="false">INT(VLOOKUP($E2,Role!$A$2:$P$9,16,0)*$B2*$AS2)</f>
        <v>0</v>
      </c>
      <c r="T2" s="4" t="n">
        <f aca="false">INT(VLOOKUP($D2,Size!$A$2:$Z$13,18,0)*VLOOKUP($E2,Role!$A$2:$O$9,13,0)*$B2/2)</f>
        <v>6</v>
      </c>
      <c r="U2" s="4" t="n">
        <f aca="false">INT(($BB2*$BE2)+($J2*$BC2))</f>
        <v>11</v>
      </c>
      <c r="V2" s="4" t="n">
        <f aca="false">INT((10+$N2)*VLOOKUP($E2,Role!$A$2:$O$9,14,0))</f>
        <v>8</v>
      </c>
      <c r="W2" s="4" t="n">
        <f aca="false">INT($J2*VLOOKUP($E2,Role!$A$2:$O$9,12,0))</f>
        <v>0</v>
      </c>
      <c r="Y2" s="2" t="n">
        <f aca="false">ROUND(MAX($K2,$M2)+(MIN($K2,$M2)*VLOOKUP($E2,Role!$A$2:$O$9,14,0)),0)</f>
        <v>3</v>
      </c>
      <c r="Z2" s="2" t="n">
        <f aca="false">MAX(1,INT(((MIN($J2:$K2)+(MAX($J2:$K2)*$H2*VLOOKUP($E2,Role!$A$2:$O$9,15,0))))*VLOOKUP($G2,Movement!$A$2:$C$7,3,0)))</f>
        <v>2</v>
      </c>
      <c r="AB2" s="5" t="n">
        <f aca="false">INT(5+(($H2-1)/3))</f>
        <v>5</v>
      </c>
      <c r="AC2" s="5" t="n">
        <f aca="false">IF($AB2&lt;$J2,$J2-MAX($AB2,$B2),0)</f>
        <v>0</v>
      </c>
      <c r="AD2" s="5" t="n">
        <f aca="false">(5-ROUND(($H2-1)/3,0))</f>
        <v>5</v>
      </c>
      <c r="AE2" s="5" t="n">
        <f aca="false">IF($AD2&lt;$K2,$K2-MAX($AD2,$B2),0)</f>
        <v>0</v>
      </c>
      <c r="AG2" s="6" t="n">
        <f aca="false">VLOOKUP($F2,Category!$A$2:$AZ$20,24,0)</f>
        <v>0.222222222222222</v>
      </c>
      <c r="AH2" s="6" t="n">
        <f aca="false">VLOOKUP($F2,Category!$A$2:$AZ$20,26,0)</f>
        <v>0.666666666666667</v>
      </c>
      <c r="AI2" s="6" t="n">
        <f aca="false">VLOOKUP($E2,Role!$A$2:$O$9,10,0)</f>
        <v>0.75</v>
      </c>
      <c r="AJ2" s="6" t="n">
        <f aca="false">VLOOKUP($F2,Category!$A$2:$AZ$20,19,0)</f>
        <v>0.181818181818182</v>
      </c>
      <c r="AK2" s="6" t="n">
        <f aca="false">VLOOKUP($F2,Category!$A$2:$AZ$20,21,0)</f>
        <v>0.727272727272727</v>
      </c>
      <c r="AL2" s="6" t="n">
        <f aca="false">1</f>
        <v>1</v>
      </c>
      <c r="AM2" s="6" t="n">
        <f aca="false">VLOOKUP($F2,Category!$A$2:$AZ$20,19,0)</f>
        <v>0.181818181818182</v>
      </c>
      <c r="AN2" s="6" t="n">
        <f aca="false">VLOOKUP($F2,Category!$A$2:$AZ$20,21,0)</f>
        <v>0.727272727272727</v>
      </c>
      <c r="AO2" s="6" t="n">
        <f aca="false">VLOOKUP($E2,Role!$A$2:$O$9,10,0)</f>
        <v>0.75</v>
      </c>
      <c r="AP2" s="6" t="n">
        <f aca="false">VLOOKUP($F2,Category!$A$2:$AZ$20,9,0)</f>
        <v>0.222222222222222</v>
      </c>
      <c r="AQ2" s="6" t="n">
        <f aca="false">VLOOKUP($F2,Category!$A$2:$AZ$20,11,0)</f>
        <v>0.777777777777778</v>
      </c>
      <c r="AR2" s="6" t="n">
        <f aca="false">VLOOKUP($E2,Role!$A$2:$O$9,10,0)</f>
        <v>0.75</v>
      </c>
      <c r="AS2" s="6" t="n">
        <f aca="false">VLOOKUP($F2,Category!$A$2:$AZ$20,10,0)</f>
        <v>1</v>
      </c>
      <c r="AT2" s="7" t="n">
        <f aca="false">VLOOKUP($F2,Category!$A$2:$AZ$20,14,0)</f>
        <v>0.333333333333333</v>
      </c>
      <c r="AU2" s="7" t="n">
        <f aca="false">VLOOKUP($F2,Category!$A$2:$AZ$20,16,0)</f>
        <v>0.5</v>
      </c>
      <c r="AV2" s="7" t="n">
        <f aca="false">VLOOKUP($D2,Size!$A$2:$Z$13,17,0)</f>
        <v>3</v>
      </c>
      <c r="AW2" s="7" t="n">
        <f aca="false">VLOOKUP($F2,Category!$A$2:$AZ$20,29,0)</f>
        <v>0.333333333333333</v>
      </c>
      <c r="AX2" s="7" t="n">
        <f aca="false">VLOOKUP($F2,Category!$A$2:$AZ$20,31,0)</f>
        <v>0.444444444444444</v>
      </c>
      <c r="AY2" s="7" t="n">
        <f aca="false">VLOOKUP($D2,Size!$A$2:$Z$13,16,0)</f>
        <v>3</v>
      </c>
      <c r="AZ2" s="7" t="n">
        <f aca="false">VLOOKUP($E2,Role!$A$2:$O$9,11,0)</f>
        <v>0.5</v>
      </c>
      <c r="BB2" s="5" t="n">
        <f aca="false">VLOOKUP($D2,Size!$A$2:$Z$13,19,0)</f>
        <v>10</v>
      </c>
      <c r="BC2" s="5" t="n">
        <f aca="false">VLOOKUP($D2,Size!$A$2:$Z$13,20,0)</f>
        <v>1</v>
      </c>
      <c r="BD2" s="5" t="n">
        <f aca="false">VLOOKUP($E2,Role!$A$2:$O$9,13,0)</f>
        <v>0.5</v>
      </c>
      <c r="BE2" s="5" t="n">
        <f aca="false">VLOOKUP($C2,Type!$A$2:$B$4,2,0)</f>
        <v>1</v>
      </c>
    </row>
    <row r="3" customFormat="false" ht="12.8" hidden="false" customHeight="false" outlineLevel="0" collapsed="false">
      <c r="B3" s="2" t="n">
        <v>2</v>
      </c>
      <c r="C3" s="3" t="s">
        <v>51</v>
      </c>
      <c r="D3" s="1" t="s">
        <v>52</v>
      </c>
      <c r="E3" s="1" t="s">
        <v>56</v>
      </c>
      <c r="F3" s="1" t="s">
        <v>54</v>
      </c>
      <c r="G3" s="1" t="s">
        <v>55</v>
      </c>
      <c r="H3" s="4" t="n">
        <f aca="false">VLOOKUP($D3,Size!$A$2:$F$13,6,0)</f>
        <v>1</v>
      </c>
      <c r="J3" s="12" t="n">
        <f aca="false">INT(($B3*$AY3*$AW3*$AZ3)+($B3*$AX3))</f>
        <v>2</v>
      </c>
      <c r="K3" s="4" t="n">
        <f aca="false">ROUND((($B3*$AT3)+($AV3*$AU3)),0)</f>
        <v>2</v>
      </c>
      <c r="L3" s="4" t="n">
        <f aca="false">ROUND((($B3*$AP3)+($B3*$AQ3))*$AR3,0)</f>
        <v>1</v>
      </c>
      <c r="M3" s="4" t="n">
        <f aca="false">ROUND((($B3*$AM3)+($B3*$AN3))*$AO3,0)</f>
        <v>1</v>
      </c>
      <c r="N3" s="4" t="n">
        <f aca="false">ROUND((($B3*$AG3)+($B3*$AH3))*$AI3,0)</f>
        <v>1</v>
      </c>
      <c r="O3" s="4" t="n">
        <f aca="false">ROUND((($B3*$AJ3)+($B3*$AK3))*$AL3,0)</f>
        <v>2</v>
      </c>
      <c r="Q3" s="4" t="n">
        <f aca="false">INT(VLOOKUP($E3,Role!$A$2:$O$9,8,0)*$B3)</f>
        <v>2</v>
      </c>
      <c r="R3" s="4" t="n">
        <f aca="false">INT(VLOOKUP($E3,Role!$A$2:$O$9,9,0)*$B3)</f>
        <v>1</v>
      </c>
      <c r="S3" s="4" t="n">
        <f aca="false">INT(VLOOKUP($E3,Role!$A$2:$P$9,16,0)*$B3*$AS3)</f>
        <v>0</v>
      </c>
      <c r="T3" s="4" t="n">
        <f aca="false">INT(VLOOKUP($D3,Size!$A$2:$Z$13,18,0)*VLOOKUP($E3,Role!$A$2:$O$9,13,0)*$B3/2)</f>
        <v>19</v>
      </c>
      <c r="U3" s="4" t="n">
        <f aca="false">INT(($BB3*$BE3)+($J3*$BC3))</f>
        <v>12</v>
      </c>
      <c r="V3" s="4" t="n">
        <f aca="false">INT((10+$N3)*VLOOKUP($E3,Role!$A$2:$O$9,14,0))</f>
        <v>5</v>
      </c>
      <c r="W3" s="4" t="n">
        <f aca="false">INT($J3*VLOOKUP($E3,Role!$A$2:$O$9,12,0))</f>
        <v>2</v>
      </c>
      <c r="Y3" s="2" t="n">
        <f aca="false">ROUND(MAX($K3,$M3)+(MIN($K3,$M3)*VLOOKUP($E3,Role!$A$2:$O$9,14,0)),0)</f>
        <v>3</v>
      </c>
      <c r="Z3" s="2" t="n">
        <f aca="false">MAX(1,INT(((MIN($J3:$K3)+(MAX($J3:$K3)*$H3*VLOOKUP($E3,Role!$A$2:$O$9,15,0))))*VLOOKUP($G3,Movement!$A$2:$C$7,3,0)))</f>
        <v>3</v>
      </c>
      <c r="AB3" s="5" t="n">
        <f aca="false">INT(5+(($H3-1)/3))</f>
        <v>5</v>
      </c>
      <c r="AC3" s="5" t="n">
        <f aca="false">IF($AB3&lt;$J3,$J3-MAX($AB3,$B3),0)</f>
        <v>0</v>
      </c>
      <c r="AD3" s="5" t="n">
        <f aca="false">(5-ROUND(($H3-1)/3,0))</f>
        <v>5</v>
      </c>
      <c r="AE3" s="5" t="n">
        <f aca="false">IF($AD3&lt;$K3,$K3-MAX($AD3,$B3),0)</f>
        <v>0</v>
      </c>
      <c r="AG3" s="6" t="n">
        <f aca="false">VLOOKUP($F3,Category!$A$2:$AZ$20,24,0)</f>
        <v>0.222222222222222</v>
      </c>
      <c r="AH3" s="6" t="n">
        <f aca="false">VLOOKUP($F3,Category!$A$2:$AZ$20,26,0)</f>
        <v>0.666666666666667</v>
      </c>
      <c r="AI3" s="6" t="n">
        <f aca="false">VLOOKUP($E3,Role!$A$2:$O$9,10,0)</f>
        <v>0.5</v>
      </c>
      <c r="AJ3" s="6" t="n">
        <f aca="false">VLOOKUP($F3,Category!$A$2:$AZ$20,19,0)</f>
        <v>0.181818181818182</v>
      </c>
      <c r="AK3" s="6" t="n">
        <f aca="false">VLOOKUP($F3,Category!$A$2:$AZ$20,21,0)</f>
        <v>0.727272727272727</v>
      </c>
      <c r="AL3" s="6" t="n">
        <f aca="false">1</f>
        <v>1</v>
      </c>
      <c r="AM3" s="6" t="n">
        <f aca="false">VLOOKUP($F3,Category!$A$2:$AZ$20,19,0)</f>
        <v>0.181818181818182</v>
      </c>
      <c r="AN3" s="6" t="n">
        <f aca="false">VLOOKUP($F3,Category!$A$2:$AZ$20,21,0)</f>
        <v>0.727272727272727</v>
      </c>
      <c r="AO3" s="6" t="n">
        <f aca="false">VLOOKUP($E3,Role!$A$2:$O$9,10,0)</f>
        <v>0.5</v>
      </c>
      <c r="AP3" s="6" t="n">
        <f aca="false">VLOOKUP($F3,Category!$A$2:$AZ$20,9,0)</f>
        <v>0.222222222222222</v>
      </c>
      <c r="AQ3" s="6" t="n">
        <f aca="false">VLOOKUP($F3,Category!$A$2:$AZ$20,11,0)</f>
        <v>0.777777777777778</v>
      </c>
      <c r="AR3" s="6" t="n">
        <f aca="false">VLOOKUP($E3,Role!$A$2:$O$9,10,0)</f>
        <v>0.5</v>
      </c>
      <c r="AS3" s="6" t="n">
        <f aca="false">VLOOKUP($F3,Category!$A$2:$AZ$20,10,0)</f>
        <v>1</v>
      </c>
      <c r="AT3" s="7" t="n">
        <f aca="false">VLOOKUP($F3,Category!$A$2:$AZ$20,14,0)</f>
        <v>0.333333333333333</v>
      </c>
      <c r="AU3" s="7" t="n">
        <f aca="false">VLOOKUP($F3,Category!$A$2:$AZ$20,16,0)</f>
        <v>0.5</v>
      </c>
      <c r="AV3" s="7" t="n">
        <f aca="false">VLOOKUP($D3,Size!$A$2:$Z$13,17,0)</f>
        <v>3</v>
      </c>
      <c r="AW3" s="7" t="n">
        <f aca="false">VLOOKUP($F3,Category!$A$2:$AZ$20,29,0)</f>
        <v>0.333333333333333</v>
      </c>
      <c r="AX3" s="7" t="n">
        <f aca="false">VLOOKUP($F3,Category!$A$2:$AZ$20,31,0)</f>
        <v>0.444444444444444</v>
      </c>
      <c r="AY3" s="7" t="n">
        <f aca="false">VLOOKUP($D3,Size!$A$2:$Z$13,16,0)</f>
        <v>3</v>
      </c>
      <c r="AZ3" s="7" t="n">
        <f aca="false">VLOOKUP($E3,Role!$A$2:$O$9,11,0)</f>
        <v>1</v>
      </c>
      <c r="BB3" s="5" t="n">
        <f aca="false">VLOOKUP($D3,Size!$A$2:$Z$13,19,0)</f>
        <v>10</v>
      </c>
      <c r="BC3" s="5" t="n">
        <f aca="false">VLOOKUP($D3,Size!$A$2:$Z$13,20,0)</f>
        <v>1</v>
      </c>
      <c r="BD3" s="5" t="n">
        <f aca="false">VLOOKUP($E3,Role!$A$2:$O$9,13,0)</f>
        <v>1.5</v>
      </c>
      <c r="BE3" s="5" t="n">
        <f aca="false">VLOOKUP($C3,Type!$A$2:$B$4,2,0)</f>
        <v>1</v>
      </c>
    </row>
    <row r="4" customFormat="false" ht="12.8" hidden="false" customHeight="false" outlineLevel="0" collapsed="false">
      <c r="B4" s="2" t="n">
        <v>2</v>
      </c>
      <c r="C4" s="3" t="s">
        <v>57</v>
      </c>
      <c r="D4" s="1" t="s">
        <v>52</v>
      </c>
      <c r="E4" s="1" t="s">
        <v>58</v>
      </c>
      <c r="F4" s="1" t="s">
        <v>54</v>
      </c>
      <c r="G4" s="1" t="s">
        <v>55</v>
      </c>
      <c r="H4" s="4" t="n">
        <f aca="false">VLOOKUP($D4,Size!$A$2:$F$13,6,0)</f>
        <v>1</v>
      </c>
      <c r="J4" s="12" t="n">
        <f aca="false">INT(($B4*$AY4*$AW4*$AZ4)+($B4*$AX4))</f>
        <v>1</v>
      </c>
      <c r="K4" s="4" t="n">
        <f aca="false">ROUND((($B4*$AT4)+($AV4*$AU4)),0)</f>
        <v>2</v>
      </c>
      <c r="L4" s="4" t="n">
        <f aca="false">ROUND((($B4*$AP4)+($B4*$AQ4))*$AR4,0)</f>
        <v>2</v>
      </c>
      <c r="M4" s="4" t="n">
        <f aca="false">ROUND((($B4*$AM4)+($B4*$AN4))*$AO4,0)</f>
        <v>2</v>
      </c>
      <c r="N4" s="4" t="n">
        <f aca="false">ROUND((($B4*$AG4)+($B4*$AH4))*$AI4,0)</f>
        <v>2</v>
      </c>
      <c r="O4" s="4" t="n">
        <f aca="false">ROUND((($B4*$AJ4)+($B4*$AK4))*$AL4,0)</f>
        <v>2</v>
      </c>
      <c r="Q4" s="4" t="n">
        <f aca="false">INT(VLOOKUP($E4,Role!$A$2:$O$9,8,0)*$B4)</f>
        <v>1</v>
      </c>
      <c r="R4" s="4" t="n">
        <f aca="false">INT(VLOOKUP($E4,Role!$A$2:$O$9,9,0)*$B4)</f>
        <v>1</v>
      </c>
      <c r="S4" s="4" t="n">
        <f aca="false">INT(VLOOKUP($E4,Role!$A$2:$P$9,16,0)*$B4*$AS4)</f>
        <v>2</v>
      </c>
      <c r="T4" s="4" t="n">
        <f aca="false">INT(VLOOKUP($D4,Size!$A$2:$Z$13,18,0)*VLOOKUP($E4,Role!$A$2:$O$9,13,0)*$B4/2)</f>
        <v>9</v>
      </c>
      <c r="U4" s="4" t="n">
        <f aca="false">INT(($BB4*$BE4)+($J4*$BC4))</f>
        <v>6</v>
      </c>
      <c r="V4" s="4" t="n">
        <f aca="false">INT((10+$N4)*VLOOKUP($E4,Role!$A$2:$O$9,14,0))</f>
        <v>6</v>
      </c>
      <c r="W4" s="4" t="n">
        <f aca="false">INT($J4*VLOOKUP($E4,Role!$A$2:$O$9,12,0))</f>
        <v>0</v>
      </c>
      <c r="Y4" s="2" t="n">
        <f aca="false">ROUND(MAX($K4,$M4)+(MIN($K4,$M4)*VLOOKUP($E4,Role!$A$2:$O$9,14,0)),0)</f>
        <v>3</v>
      </c>
      <c r="Z4" s="2" t="n">
        <f aca="false">MAX(1,INT(((MIN($J4:$K4)+(MAX($J4:$K4)*$H4*VLOOKUP($E4,Role!$A$2:$O$9,15,0))))*VLOOKUP($G4,Movement!$A$2:$C$7,3,0)))</f>
        <v>3</v>
      </c>
      <c r="AB4" s="5" t="n">
        <f aca="false">INT(5+(($H4-1)/3))</f>
        <v>5</v>
      </c>
      <c r="AC4" s="5" t="n">
        <f aca="false">IF($AB4&lt;$J4,$J4-MAX($AB4,$B4),0)</f>
        <v>0</v>
      </c>
      <c r="AD4" s="5" t="n">
        <f aca="false">(5-ROUND(($H4-1)/3,0))</f>
        <v>5</v>
      </c>
      <c r="AE4" s="5" t="n">
        <f aca="false">IF($AD4&lt;$K4,$K4-MAX($AD4,$B4),0)</f>
        <v>0</v>
      </c>
      <c r="AG4" s="6" t="n">
        <f aca="false">VLOOKUP($F4,Category!$A$2:$AZ$20,24,0)</f>
        <v>0.222222222222222</v>
      </c>
      <c r="AH4" s="6" t="n">
        <f aca="false">VLOOKUP($F4,Category!$A$2:$AZ$20,26,0)</f>
        <v>0.666666666666667</v>
      </c>
      <c r="AI4" s="6" t="n">
        <f aca="false">VLOOKUP($E4,Role!$A$2:$O$9,10,0)</f>
        <v>1</v>
      </c>
      <c r="AJ4" s="6" t="n">
        <f aca="false">VLOOKUP($F4,Category!$A$2:$AZ$20,19,0)</f>
        <v>0.181818181818182</v>
      </c>
      <c r="AK4" s="6" t="n">
        <f aca="false">VLOOKUP($F4,Category!$A$2:$AZ$20,21,0)</f>
        <v>0.727272727272727</v>
      </c>
      <c r="AL4" s="6" t="n">
        <f aca="false">1</f>
        <v>1</v>
      </c>
      <c r="AM4" s="6" t="n">
        <f aca="false">VLOOKUP($F4,Category!$A$2:$AZ$20,19,0)</f>
        <v>0.181818181818182</v>
      </c>
      <c r="AN4" s="6" t="n">
        <f aca="false">VLOOKUP($F4,Category!$A$2:$AZ$20,21,0)</f>
        <v>0.727272727272727</v>
      </c>
      <c r="AO4" s="6" t="n">
        <f aca="false">VLOOKUP($E4,Role!$A$2:$O$9,10,0)</f>
        <v>1</v>
      </c>
      <c r="AP4" s="6" t="n">
        <f aca="false">VLOOKUP($F4,Category!$A$2:$AZ$20,9,0)</f>
        <v>0.222222222222222</v>
      </c>
      <c r="AQ4" s="6" t="n">
        <f aca="false">VLOOKUP($F4,Category!$A$2:$AZ$20,11,0)</f>
        <v>0.777777777777778</v>
      </c>
      <c r="AR4" s="6" t="n">
        <f aca="false">VLOOKUP($E4,Role!$A$2:$O$9,10,0)</f>
        <v>1</v>
      </c>
      <c r="AS4" s="6" t="n">
        <f aca="false">VLOOKUP($F4,Category!$A$2:$AZ$20,10,0)</f>
        <v>1</v>
      </c>
      <c r="AT4" s="7" t="n">
        <f aca="false">VLOOKUP($F4,Category!$A$2:$AZ$20,14,0)</f>
        <v>0.333333333333333</v>
      </c>
      <c r="AU4" s="7" t="n">
        <f aca="false">VLOOKUP($F4,Category!$A$2:$AZ$20,16,0)</f>
        <v>0.5</v>
      </c>
      <c r="AV4" s="7" t="n">
        <f aca="false">VLOOKUP($D4,Size!$A$2:$Z$13,17,0)</f>
        <v>3</v>
      </c>
      <c r="AW4" s="7" t="n">
        <f aca="false">VLOOKUP($F4,Category!$A$2:$AZ$20,29,0)</f>
        <v>0.333333333333333</v>
      </c>
      <c r="AX4" s="7" t="n">
        <f aca="false">VLOOKUP($F4,Category!$A$2:$AZ$20,31,0)</f>
        <v>0.444444444444444</v>
      </c>
      <c r="AY4" s="7" t="n">
        <f aca="false">VLOOKUP($D4,Size!$A$2:$Z$13,16,0)</f>
        <v>3</v>
      </c>
      <c r="AZ4" s="7" t="n">
        <f aca="false">VLOOKUP($E4,Role!$A$2:$O$9,11,0)</f>
        <v>0.5</v>
      </c>
      <c r="BB4" s="5" t="n">
        <f aca="false">VLOOKUP($D4,Size!$A$2:$Z$13,19,0)</f>
        <v>10</v>
      </c>
      <c r="BC4" s="5" t="n">
        <f aca="false">VLOOKUP($D4,Size!$A$2:$Z$13,20,0)</f>
        <v>1</v>
      </c>
      <c r="BD4" s="5" t="n">
        <f aca="false">VLOOKUP($E4,Role!$A$2:$O$9,13,0)</f>
        <v>0.75</v>
      </c>
      <c r="BE4" s="5" t="n">
        <f aca="false">VLOOKUP($C4,Type!$A$2:$B$4,2,0)</f>
        <v>0.5</v>
      </c>
    </row>
    <row r="5" customFormat="false" ht="12.8" hidden="false" customHeight="false" outlineLevel="0" collapsed="false">
      <c r="B5" s="2" t="n">
        <v>2</v>
      </c>
      <c r="C5" s="3" t="s">
        <v>51</v>
      </c>
      <c r="D5" s="1" t="s">
        <v>52</v>
      </c>
      <c r="E5" s="1" t="s">
        <v>59</v>
      </c>
      <c r="F5" s="1" t="s">
        <v>54</v>
      </c>
      <c r="G5" s="1" t="s">
        <v>55</v>
      </c>
      <c r="H5" s="4" t="n">
        <f aca="false">VLOOKUP($D5,Size!$A$2:$F$13,6,0)</f>
        <v>1</v>
      </c>
      <c r="J5" s="12" t="n">
        <f aca="false">INT(($B5*$AY5*$AW5*$AZ5)+($B5*$AX5))</f>
        <v>2</v>
      </c>
      <c r="K5" s="4" t="n">
        <f aca="false">ROUND((($B5*$AT5)+($AV5*$AU5)),0)</f>
        <v>2</v>
      </c>
      <c r="L5" s="4" t="n">
        <f aca="false">ROUND((($B5*$AP5)+($B5*$AQ5))*$AR5,0)</f>
        <v>1</v>
      </c>
      <c r="M5" s="4" t="n">
        <f aca="false">ROUND((($B5*$AM5)+($B5*$AN5))*$AO5,0)</f>
        <v>1</v>
      </c>
      <c r="N5" s="4" t="n">
        <f aca="false">ROUND((($B5*$AG5)+($B5*$AH5))*$AI5,0)</f>
        <v>1</v>
      </c>
      <c r="O5" s="4" t="n">
        <f aca="false">ROUND((($B5*$AJ5)+($B5*$AK5))*$AL5,0)</f>
        <v>2</v>
      </c>
      <c r="Q5" s="4" t="n">
        <f aca="false">INT(VLOOKUP($E5,Role!$A$2:$O$9,8,0)*$B5)</f>
        <v>2</v>
      </c>
      <c r="R5" s="4" t="n">
        <f aca="false">INT(VLOOKUP($E5,Role!$A$2:$O$9,9,0)*$B5)</f>
        <v>1</v>
      </c>
      <c r="S5" s="4" t="n">
        <f aca="false">INT(VLOOKUP($E5,Role!$A$2:$P$9,16,0)*$B5*$AS5)</f>
        <v>1</v>
      </c>
      <c r="T5" s="4" t="n">
        <f aca="false">INT(VLOOKUP($D5,Size!$A$2:$Z$13,18,0)*VLOOKUP($E5,Role!$A$2:$O$9,13,0)*$B5/2)</f>
        <v>13</v>
      </c>
      <c r="U5" s="4" t="n">
        <f aca="false">INT(($BB5*$BE5)+($J5*$BC5))</f>
        <v>12</v>
      </c>
      <c r="V5" s="4" t="n">
        <f aca="false">INT((10+$N5)*VLOOKUP($E5,Role!$A$2:$O$9,14,0))</f>
        <v>11</v>
      </c>
      <c r="W5" s="4" t="n">
        <f aca="false">INT($J5*VLOOKUP($E5,Role!$A$2:$O$9,12,0))</f>
        <v>1</v>
      </c>
      <c r="Y5" s="2" t="n">
        <f aca="false">ROUND(MAX($K5,$M5)+(MIN($K5,$M5)*VLOOKUP($E5,Role!$A$2:$O$9,14,0)),0)</f>
        <v>3</v>
      </c>
      <c r="Z5" s="2" t="n">
        <f aca="false">MAX(1,INT(((MIN($J5:$K5)+(MAX($J5:$K5)*$H5*VLOOKUP($E5,Role!$A$2:$O$9,15,0))))*VLOOKUP($G5,Movement!$A$2:$C$7,3,0)))</f>
        <v>5</v>
      </c>
      <c r="AB5" s="5" t="n">
        <f aca="false">INT(5+(($H5-1)/3))</f>
        <v>5</v>
      </c>
      <c r="AC5" s="5" t="n">
        <f aca="false">IF($AB5&lt;$J5,$J5-MAX($AB5,$B5),0)</f>
        <v>0</v>
      </c>
      <c r="AD5" s="5" t="n">
        <f aca="false">(5-ROUND(($H5-1)/3,0))</f>
        <v>5</v>
      </c>
      <c r="AE5" s="5" t="n">
        <f aca="false">IF($AD5&lt;$K5,$K5-MAX($AD5,$B5),0)</f>
        <v>0</v>
      </c>
      <c r="AG5" s="6" t="n">
        <f aca="false">VLOOKUP($F5,Category!$A$2:$AZ$20,24,0)</f>
        <v>0.222222222222222</v>
      </c>
      <c r="AH5" s="6" t="n">
        <f aca="false">VLOOKUP($F5,Category!$A$2:$AZ$20,26,0)</f>
        <v>0.666666666666667</v>
      </c>
      <c r="AI5" s="6" t="n">
        <f aca="false">VLOOKUP($E5,Role!$A$2:$O$9,10,0)</f>
        <v>0.5</v>
      </c>
      <c r="AJ5" s="6" t="n">
        <f aca="false">VLOOKUP($F5,Category!$A$2:$AZ$20,19,0)</f>
        <v>0.181818181818182</v>
      </c>
      <c r="AK5" s="6" t="n">
        <f aca="false">VLOOKUP($F5,Category!$A$2:$AZ$20,21,0)</f>
        <v>0.727272727272727</v>
      </c>
      <c r="AL5" s="6" t="n">
        <f aca="false">1</f>
        <v>1</v>
      </c>
      <c r="AM5" s="6" t="n">
        <f aca="false">VLOOKUP($F5,Category!$A$2:$AZ$20,19,0)</f>
        <v>0.181818181818182</v>
      </c>
      <c r="AN5" s="6" t="n">
        <f aca="false">VLOOKUP($F5,Category!$A$2:$AZ$20,21,0)</f>
        <v>0.727272727272727</v>
      </c>
      <c r="AO5" s="6" t="n">
        <f aca="false">VLOOKUP($E5,Role!$A$2:$O$9,10,0)</f>
        <v>0.5</v>
      </c>
      <c r="AP5" s="6" t="n">
        <f aca="false">VLOOKUP($F5,Category!$A$2:$AZ$20,9,0)</f>
        <v>0.222222222222222</v>
      </c>
      <c r="AQ5" s="6" t="n">
        <f aca="false">VLOOKUP($F5,Category!$A$2:$AZ$20,11,0)</f>
        <v>0.777777777777778</v>
      </c>
      <c r="AR5" s="6" t="n">
        <f aca="false">VLOOKUP($E5,Role!$A$2:$O$9,10,0)</f>
        <v>0.5</v>
      </c>
      <c r="AS5" s="6" t="n">
        <f aca="false">VLOOKUP($F5,Category!$A$2:$AZ$20,10,0)</f>
        <v>1</v>
      </c>
      <c r="AT5" s="7" t="n">
        <f aca="false">VLOOKUP($F5,Category!$A$2:$AZ$20,14,0)</f>
        <v>0.333333333333333</v>
      </c>
      <c r="AU5" s="7" t="n">
        <f aca="false">VLOOKUP($F5,Category!$A$2:$AZ$20,16,0)</f>
        <v>0.5</v>
      </c>
      <c r="AV5" s="7" t="n">
        <f aca="false">VLOOKUP($D5,Size!$A$2:$Z$13,17,0)</f>
        <v>3</v>
      </c>
      <c r="AW5" s="7" t="n">
        <f aca="false">VLOOKUP($F5,Category!$A$2:$AZ$20,29,0)</f>
        <v>0.333333333333333</v>
      </c>
      <c r="AX5" s="7" t="n">
        <f aca="false">VLOOKUP($F5,Category!$A$2:$AZ$20,31,0)</f>
        <v>0.444444444444444</v>
      </c>
      <c r="AY5" s="7" t="n">
        <f aca="false">VLOOKUP($D5,Size!$A$2:$Z$13,16,0)</f>
        <v>3</v>
      </c>
      <c r="AZ5" s="7" t="n">
        <f aca="false">VLOOKUP($E5,Role!$A$2:$O$9,11,0)</f>
        <v>0.75</v>
      </c>
      <c r="BB5" s="5" t="n">
        <f aca="false">VLOOKUP($D5,Size!$A$2:$Z$13,19,0)</f>
        <v>10</v>
      </c>
      <c r="BC5" s="5" t="n">
        <f aca="false">VLOOKUP($D5,Size!$A$2:$Z$13,20,0)</f>
        <v>1</v>
      </c>
      <c r="BD5" s="5" t="n">
        <f aca="false">VLOOKUP($E5,Role!$A$2:$O$9,13,0)</f>
        <v>1</v>
      </c>
      <c r="BE5" s="5" t="n">
        <f aca="false">VLOOKUP($C5,Type!$A$2:$B$4,2,0)</f>
        <v>1</v>
      </c>
    </row>
    <row r="6" customFormat="false" ht="12.8" hidden="false" customHeight="false" outlineLevel="0" collapsed="false">
      <c r="B6" s="2" t="n">
        <v>2</v>
      </c>
      <c r="C6" s="3" t="s">
        <v>51</v>
      </c>
      <c r="D6" s="1" t="s">
        <v>52</v>
      </c>
      <c r="E6" s="1" t="s">
        <v>60</v>
      </c>
      <c r="F6" s="1" t="s">
        <v>54</v>
      </c>
      <c r="G6" s="1" t="s">
        <v>55</v>
      </c>
      <c r="H6" s="4" t="n">
        <f aca="false">VLOOKUP($D6,Size!$A$2:$F$13,6,0)</f>
        <v>1</v>
      </c>
      <c r="J6" s="12" t="n">
        <f aca="false">INT(($B6*$AY6*$AW6*$AZ6)+($B6*$AX6))</f>
        <v>2</v>
      </c>
      <c r="K6" s="4" t="n">
        <f aca="false">ROUND((($B6*$AT6)+($AV6*$AU6)),0)</f>
        <v>2</v>
      </c>
      <c r="L6" s="4" t="n">
        <f aca="false">ROUND((($B6*$AP6)+($B6*$AQ6))*$AR6,0)</f>
        <v>2</v>
      </c>
      <c r="M6" s="4" t="n">
        <f aca="false">ROUND((($B6*$AM6)+($B6*$AN6))*$AO6,0)</f>
        <v>1</v>
      </c>
      <c r="N6" s="4" t="n">
        <f aca="false">ROUND((($B6*$AG6)+($B6*$AH6))*$AI6,0)</f>
        <v>1</v>
      </c>
      <c r="O6" s="4" t="n">
        <f aca="false">ROUND((($B6*$AJ6)+($B6*$AK6))*$AL6,0)</f>
        <v>2</v>
      </c>
      <c r="Q6" s="4" t="n">
        <f aca="false">INT(VLOOKUP($E6,Role!$A$2:$O$9,8,0)*$B6)</f>
        <v>1</v>
      </c>
      <c r="R6" s="4" t="n">
        <f aca="false">INT(VLOOKUP($E6,Role!$A$2:$O$9,9,0)*$B6)</f>
        <v>2</v>
      </c>
      <c r="S6" s="4" t="n">
        <f aca="false">INT(VLOOKUP($E6,Role!$A$2:$P$9,16,0)*$B6*$AS6)</f>
        <v>1</v>
      </c>
      <c r="T6" s="4" t="n">
        <f aca="false">INT(VLOOKUP($D6,Size!$A$2:$Z$13,18,0)*VLOOKUP($E6,Role!$A$2:$O$9,13,0)*$B6/2)</f>
        <v>9</v>
      </c>
      <c r="U6" s="4" t="n">
        <f aca="false">INT(($BB6*$BE6)+($J6*$BC6))</f>
        <v>12</v>
      </c>
      <c r="V6" s="4" t="n">
        <f aca="false">INT((10+$N6)*VLOOKUP($E6,Role!$A$2:$O$9,14,0))</f>
        <v>8</v>
      </c>
      <c r="W6" s="4" t="n">
        <f aca="false">INT($J6*VLOOKUP($E6,Role!$A$2:$O$9,12,0))</f>
        <v>1</v>
      </c>
      <c r="Y6" s="2" t="n">
        <f aca="false">ROUND(MAX($K6,$M6)+(MIN($K6,$M6)*VLOOKUP($E6,Role!$A$2:$O$9,14,0)),0)</f>
        <v>3</v>
      </c>
      <c r="Z6" s="2" t="n">
        <f aca="false">MAX(1,INT(((MIN($J6:$K6)+(MAX($J6:$K6)*$H6*VLOOKUP($E6,Role!$A$2:$O$9,15,0))))*VLOOKUP($G6,Movement!$A$2:$C$7,3,0)))</f>
        <v>5</v>
      </c>
      <c r="AB6" s="5" t="n">
        <f aca="false">INT(5+(($H6-1)/3))</f>
        <v>5</v>
      </c>
      <c r="AC6" s="5" t="n">
        <f aca="false">IF($AB6&lt;$J6,$J6-MAX($AB6,$B6),0)</f>
        <v>0</v>
      </c>
      <c r="AD6" s="5" t="n">
        <f aca="false">(5-ROUND(($H6-1)/3,0))</f>
        <v>5</v>
      </c>
      <c r="AE6" s="5" t="n">
        <f aca="false">IF($AD6&lt;$K6,$K6-MAX($AD6,$B6),0)</f>
        <v>0</v>
      </c>
      <c r="AG6" s="6" t="n">
        <f aca="false">VLOOKUP($F6,Category!$A$2:$AZ$20,24,0)</f>
        <v>0.222222222222222</v>
      </c>
      <c r="AH6" s="6" t="n">
        <f aca="false">VLOOKUP($F6,Category!$A$2:$AZ$20,26,0)</f>
        <v>0.666666666666667</v>
      </c>
      <c r="AI6" s="6" t="n">
        <f aca="false">VLOOKUP($E6,Role!$A$2:$O$9,10,0)</f>
        <v>0.75</v>
      </c>
      <c r="AJ6" s="6" t="n">
        <f aca="false">VLOOKUP($F6,Category!$A$2:$AZ$20,19,0)</f>
        <v>0.181818181818182</v>
      </c>
      <c r="AK6" s="6" t="n">
        <f aca="false">VLOOKUP($F6,Category!$A$2:$AZ$20,21,0)</f>
        <v>0.727272727272727</v>
      </c>
      <c r="AL6" s="6" t="n">
        <f aca="false">1</f>
        <v>1</v>
      </c>
      <c r="AM6" s="6" t="n">
        <f aca="false">VLOOKUP($F6,Category!$A$2:$AZ$20,19,0)</f>
        <v>0.181818181818182</v>
      </c>
      <c r="AN6" s="6" t="n">
        <f aca="false">VLOOKUP($F6,Category!$A$2:$AZ$20,21,0)</f>
        <v>0.727272727272727</v>
      </c>
      <c r="AO6" s="6" t="n">
        <f aca="false">VLOOKUP($E6,Role!$A$2:$O$9,10,0)</f>
        <v>0.75</v>
      </c>
      <c r="AP6" s="6" t="n">
        <f aca="false">VLOOKUP($F6,Category!$A$2:$AZ$20,9,0)</f>
        <v>0.222222222222222</v>
      </c>
      <c r="AQ6" s="6" t="n">
        <f aca="false">VLOOKUP($F6,Category!$A$2:$AZ$20,11,0)</f>
        <v>0.777777777777778</v>
      </c>
      <c r="AR6" s="6" t="n">
        <f aca="false">VLOOKUP($E6,Role!$A$2:$O$9,10,0)</f>
        <v>0.75</v>
      </c>
      <c r="AS6" s="6" t="n">
        <f aca="false">VLOOKUP($F6,Category!$A$2:$AZ$20,10,0)</f>
        <v>1</v>
      </c>
      <c r="AT6" s="7" t="n">
        <f aca="false">VLOOKUP($F6,Category!$A$2:$AZ$20,14,0)</f>
        <v>0.333333333333333</v>
      </c>
      <c r="AU6" s="7" t="n">
        <f aca="false">VLOOKUP($F6,Category!$A$2:$AZ$20,16,0)</f>
        <v>0.5</v>
      </c>
      <c r="AV6" s="7" t="n">
        <f aca="false">VLOOKUP($D6,Size!$A$2:$Z$13,17,0)</f>
        <v>3</v>
      </c>
      <c r="AW6" s="7" t="n">
        <f aca="false">VLOOKUP($F6,Category!$A$2:$AZ$20,29,0)</f>
        <v>0.333333333333333</v>
      </c>
      <c r="AX6" s="7" t="n">
        <f aca="false">VLOOKUP($F6,Category!$A$2:$AZ$20,31,0)</f>
        <v>0.444444444444444</v>
      </c>
      <c r="AY6" s="7" t="n">
        <f aca="false">VLOOKUP($D6,Size!$A$2:$Z$13,16,0)</f>
        <v>3</v>
      </c>
      <c r="AZ6" s="7" t="n">
        <f aca="false">VLOOKUP($E6,Role!$A$2:$O$9,11,0)</f>
        <v>0.75</v>
      </c>
      <c r="BB6" s="5" t="n">
        <f aca="false">VLOOKUP($D6,Size!$A$2:$Z$13,19,0)</f>
        <v>10</v>
      </c>
      <c r="BC6" s="5" t="n">
        <f aca="false">VLOOKUP($D6,Size!$A$2:$Z$13,20,0)</f>
        <v>1</v>
      </c>
      <c r="BD6" s="5" t="n">
        <f aca="false">VLOOKUP($E6,Role!$A$2:$O$9,13,0)</f>
        <v>0.75</v>
      </c>
      <c r="BE6" s="5" t="n">
        <f aca="false">VLOOKUP($C6,Type!$A$2:$B$4,2,0)</f>
        <v>1</v>
      </c>
    </row>
    <row r="7" customFormat="false" ht="12.8" hidden="false" customHeight="false" outlineLevel="0" collapsed="false">
      <c r="B7" s="2" t="n">
        <v>2</v>
      </c>
      <c r="C7" s="3" t="s">
        <v>51</v>
      </c>
      <c r="D7" s="1" t="s">
        <v>52</v>
      </c>
      <c r="E7" s="1" t="s">
        <v>61</v>
      </c>
      <c r="F7" s="1" t="s">
        <v>54</v>
      </c>
      <c r="G7" s="1" t="s">
        <v>55</v>
      </c>
      <c r="H7" s="4" t="n">
        <f aca="false">VLOOKUP($D7,Size!$A$2:$F$13,6,0)</f>
        <v>1</v>
      </c>
      <c r="J7" s="12" t="n">
        <f aca="false">INT(($B7*$AY7*$AW7*$AZ7)+($B7*$AX7))</f>
        <v>2</v>
      </c>
      <c r="K7" s="4" t="n">
        <f aca="false">ROUND((($B7*$AT7)+($AV7*$AU7)),0)</f>
        <v>2</v>
      </c>
      <c r="L7" s="4" t="n">
        <f aca="false">ROUND((($B7*$AP7)+($B7*$AQ7))*$AR7,0)</f>
        <v>2</v>
      </c>
      <c r="M7" s="4" t="n">
        <f aca="false">ROUND((($B7*$AM7)+($B7*$AN7))*$AO7,0)</f>
        <v>2</v>
      </c>
      <c r="N7" s="4" t="n">
        <f aca="false">ROUND((($B7*$AG7)+($B7*$AH7))*$AI7,0)</f>
        <v>2</v>
      </c>
      <c r="O7" s="4" t="n">
        <f aca="false">ROUND((($B7*$AJ7)+($B7*$AK7))*$AL7,0)</f>
        <v>2</v>
      </c>
      <c r="Q7" s="4" t="n">
        <f aca="false">INT(VLOOKUP($E7,Role!$A$2:$O$9,8,0)*$B7)</f>
        <v>1</v>
      </c>
      <c r="R7" s="4" t="n">
        <f aca="false">INT(VLOOKUP($E7,Role!$A$2:$O$9,9,0)*$B7)</f>
        <v>1</v>
      </c>
      <c r="S7" s="4" t="n">
        <f aca="false">INT(VLOOKUP($E7,Role!$A$2:$P$9,16,0)*$B7*$AS7)</f>
        <v>1</v>
      </c>
      <c r="T7" s="4" t="n">
        <f aca="false">INT(VLOOKUP($D7,Size!$A$2:$Z$13,18,0)*VLOOKUP($E7,Role!$A$2:$O$9,13,0)*$B7/2)</f>
        <v>13</v>
      </c>
      <c r="U7" s="4" t="n">
        <f aca="false">INT(($BB7*$BE7)+($J7*$BC7))</f>
        <v>12</v>
      </c>
      <c r="V7" s="4" t="n">
        <f aca="false">INT((10+$N7)*VLOOKUP($E7,Role!$A$2:$O$9,14,0))</f>
        <v>9</v>
      </c>
      <c r="W7" s="4" t="n">
        <f aca="false">INT($J7*VLOOKUP($E7,Role!$A$2:$O$9,12,0))</f>
        <v>1</v>
      </c>
      <c r="Y7" s="2" t="n">
        <f aca="false">ROUND(MAX($K7,$M7)+(MIN($K7,$M7)*VLOOKUP($E7,Role!$A$2:$O$9,14,0)),0)</f>
        <v>4</v>
      </c>
      <c r="Z7" s="2" t="n">
        <f aca="false">MAX(1,INT(((MIN($J7:$K7)+(MAX($J7:$K7)*$H7*VLOOKUP($E7,Role!$A$2:$O$9,15,0))))*VLOOKUP($G7,Movement!$A$2:$C$7,3,0)))</f>
        <v>4</v>
      </c>
      <c r="AB7" s="5" t="n">
        <f aca="false">INT(5+(($H7-1)/3))</f>
        <v>5</v>
      </c>
      <c r="AC7" s="5" t="n">
        <f aca="false">IF($AB7&lt;$J7,$J7-MAX($AB7,$B7),0)</f>
        <v>0</v>
      </c>
      <c r="AD7" s="5" t="n">
        <f aca="false">(5-ROUND(($H7-1)/3,0))</f>
        <v>5</v>
      </c>
      <c r="AE7" s="5" t="n">
        <f aca="false">IF($AD7&lt;$K7,$K7-MAX($AD7,$B7),0)</f>
        <v>0</v>
      </c>
      <c r="AG7" s="6" t="n">
        <f aca="false">VLOOKUP($F7,Category!$A$2:$AZ$20,24,0)</f>
        <v>0.222222222222222</v>
      </c>
      <c r="AH7" s="6" t="n">
        <f aca="false">VLOOKUP($F7,Category!$A$2:$AZ$20,26,0)</f>
        <v>0.666666666666667</v>
      </c>
      <c r="AI7" s="6" t="n">
        <f aca="false">VLOOKUP($E7,Role!$A$2:$O$9,10,0)</f>
        <v>1</v>
      </c>
      <c r="AJ7" s="6" t="n">
        <f aca="false">VLOOKUP($F7,Category!$A$2:$AZ$20,19,0)</f>
        <v>0.181818181818182</v>
      </c>
      <c r="AK7" s="6" t="n">
        <f aca="false">VLOOKUP($F7,Category!$A$2:$AZ$20,21,0)</f>
        <v>0.727272727272727</v>
      </c>
      <c r="AL7" s="6" t="n">
        <f aca="false">1</f>
        <v>1</v>
      </c>
      <c r="AM7" s="6" t="n">
        <f aca="false">VLOOKUP($F7,Category!$A$2:$AZ$20,19,0)</f>
        <v>0.181818181818182</v>
      </c>
      <c r="AN7" s="6" t="n">
        <f aca="false">VLOOKUP($F7,Category!$A$2:$AZ$20,21,0)</f>
        <v>0.727272727272727</v>
      </c>
      <c r="AO7" s="6" t="n">
        <f aca="false">VLOOKUP($E7,Role!$A$2:$O$9,10,0)</f>
        <v>1</v>
      </c>
      <c r="AP7" s="6" t="n">
        <f aca="false">VLOOKUP($F7,Category!$A$2:$AZ$20,9,0)</f>
        <v>0.222222222222222</v>
      </c>
      <c r="AQ7" s="6" t="n">
        <f aca="false">VLOOKUP($F7,Category!$A$2:$AZ$20,11,0)</f>
        <v>0.777777777777778</v>
      </c>
      <c r="AR7" s="6" t="n">
        <f aca="false">VLOOKUP($E7,Role!$A$2:$O$9,10,0)</f>
        <v>1</v>
      </c>
      <c r="AS7" s="6" t="n">
        <f aca="false">VLOOKUP($F7,Category!$A$2:$AZ$20,10,0)</f>
        <v>1</v>
      </c>
      <c r="AT7" s="7" t="n">
        <f aca="false">VLOOKUP($F7,Category!$A$2:$AZ$20,14,0)</f>
        <v>0.333333333333333</v>
      </c>
      <c r="AU7" s="7" t="n">
        <f aca="false">VLOOKUP($F7,Category!$A$2:$AZ$20,16,0)</f>
        <v>0.5</v>
      </c>
      <c r="AV7" s="7" t="n">
        <f aca="false">VLOOKUP($D7,Size!$A$2:$Z$13,17,0)</f>
        <v>3</v>
      </c>
      <c r="AW7" s="7" t="n">
        <f aca="false">VLOOKUP($F7,Category!$A$2:$AZ$20,29,0)</f>
        <v>0.333333333333333</v>
      </c>
      <c r="AX7" s="7" t="n">
        <f aca="false">VLOOKUP($F7,Category!$A$2:$AZ$20,31,0)</f>
        <v>0.444444444444444</v>
      </c>
      <c r="AY7" s="7" t="n">
        <f aca="false">VLOOKUP($D7,Size!$A$2:$Z$13,16,0)</f>
        <v>3</v>
      </c>
      <c r="AZ7" s="7" t="n">
        <f aca="false">VLOOKUP($E7,Role!$A$2:$O$9,11,0)</f>
        <v>0.75</v>
      </c>
      <c r="BB7" s="5" t="n">
        <f aca="false">VLOOKUP($D7,Size!$A$2:$Z$13,19,0)</f>
        <v>10</v>
      </c>
      <c r="BC7" s="5" t="n">
        <f aca="false">VLOOKUP($D7,Size!$A$2:$Z$13,20,0)</f>
        <v>1</v>
      </c>
      <c r="BD7" s="5" t="n">
        <f aca="false">VLOOKUP($E7,Role!$A$2:$O$9,13,0)</f>
        <v>1</v>
      </c>
      <c r="BE7" s="5" t="n">
        <f aca="false">VLOOKUP($C7,Type!$A$2:$B$4,2,0)</f>
        <v>1</v>
      </c>
    </row>
    <row r="8" customFormat="false" ht="12.8" hidden="false" customHeight="false" outlineLevel="0" collapsed="false">
      <c r="B8" s="2" t="n">
        <v>2</v>
      </c>
      <c r="C8" s="3" t="s">
        <v>51</v>
      </c>
      <c r="D8" s="1" t="s">
        <v>52</v>
      </c>
      <c r="E8" s="1" t="s">
        <v>62</v>
      </c>
      <c r="F8" s="1" t="s">
        <v>54</v>
      </c>
      <c r="G8" s="1" t="s">
        <v>55</v>
      </c>
      <c r="H8" s="4" t="n">
        <f aca="false">VLOOKUP($D8,Size!$A$2:$F$13,6,0)</f>
        <v>1</v>
      </c>
      <c r="J8" s="12" t="n">
        <f aca="false">INT(($B8*$AY8*$AW8*$AZ8)+($B8*$AX8))</f>
        <v>1</v>
      </c>
      <c r="K8" s="4" t="n">
        <f aca="false">ROUND((($B8*$AT8)+($AV8*$AU8)),0)</f>
        <v>2</v>
      </c>
      <c r="L8" s="4" t="n">
        <f aca="false">ROUND((($B8*$AP8)+($B8*$AQ8))*$AR8,0)</f>
        <v>2</v>
      </c>
      <c r="M8" s="4" t="n">
        <f aca="false">ROUND((($B8*$AM8)+($B8*$AN8))*$AO8,0)</f>
        <v>2</v>
      </c>
      <c r="N8" s="4" t="n">
        <f aca="false">ROUND((($B8*$AG8)+($B8*$AH8))*$AI8,0)</f>
        <v>2</v>
      </c>
      <c r="O8" s="4" t="n">
        <f aca="false">ROUND((($B8*$AJ8)+($B8*$AK8))*$AL8,0)</f>
        <v>2</v>
      </c>
      <c r="Q8" s="4" t="n">
        <f aca="false">INT(VLOOKUP($E8,Role!$A$2:$O$9,8,0)*$B8)</f>
        <v>1</v>
      </c>
      <c r="R8" s="4" t="n">
        <f aca="false">INT(VLOOKUP($E8,Role!$A$2:$O$9,9,0)*$B8)</f>
        <v>1</v>
      </c>
      <c r="S8" s="4" t="n">
        <f aca="false">INT(VLOOKUP($E8,Role!$A$2:$P$9,16,0)*$B8*$AS8)</f>
        <v>1</v>
      </c>
      <c r="T8" s="4" t="n">
        <f aca="false">INT(VLOOKUP($D8,Size!$A$2:$Z$13,18,0)*VLOOKUP($E8,Role!$A$2:$O$9,13,0)*$B8/2)</f>
        <v>9</v>
      </c>
      <c r="U8" s="4" t="n">
        <f aca="false">INT(($BB8*$BE8)+($J8*$BC8))</f>
        <v>11</v>
      </c>
      <c r="V8" s="4" t="n">
        <f aca="false">INT((10+$N8)*VLOOKUP($E8,Role!$A$2:$O$9,14,0))</f>
        <v>12</v>
      </c>
      <c r="W8" s="4" t="n">
        <f aca="false">INT($J8*VLOOKUP($E8,Role!$A$2:$O$9,12,0))</f>
        <v>0</v>
      </c>
      <c r="Y8" s="2" t="n">
        <f aca="false">ROUND(MAX($K8,$M8)+(MIN($K8,$M8)*VLOOKUP($E8,Role!$A$2:$O$9,14,0)),0)</f>
        <v>4</v>
      </c>
      <c r="Z8" s="2" t="n">
        <f aca="false">MAX(1,INT(((MIN($J8:$K8)+(MAX($J8:$K8)*$H8*VLOOKUP($E8,Role!$A$2:$O$9,15,0))))*VLOOKUP($G8,Movement!$A$2:$C$7,3,0)))</f>
        <v>4</v>
      </c>
      <c r="AB8" s="5" t="n">
        <f aca="false">INT(5+(($H8-1)/3))</f>
        <v>5</v>
      </c>
      <c r="AC8" s="5" t="n">
        <f aca="false">IF($AB8&lt;$J8,$J8-MAX($AB8,$B8),0)</f>
        <v>0</v>
      </c>
      <c r="AD8" s="5" t="n">
        <f aca="false">(5-ROUND(($H8-1)/3,0))</f>
        <v>5</v>
      </c>
      <c r="AE8" s="5" t="n">
        <f aca="false">IF($AD8&lt;$K8,$K8-MAX($AD8,$B8),0)</f>
        <v>0</v>
      </c>
      <c r="AG8" s="6" t="n">
        <f aca="false">VLOOKUP($F8,Category!$A$2:$AZ$20,24,0)</f>
        <v>0.222222222222222</v>
      </c>
      <c r="AH8" s="6" t="n">
        <f aca="false">VLOOKUP($F8,Category!$A$2:$AZ$20,26,0)</f>
        <v>0.666666666666667</v>
      </c>
      <c r="AI8" s="6" t="n">
        <f aca="false">VLOOKUP($E8,Role!$A$2:$O$9,10,0)</f>
        <v>1</v>
      </c>
      <c r="AJ8" s="6" t="n">
        <f aca="false">VLOOKUP($F8,Category!$A$2:$AZ$20,19,0)</f>
        <v>0.181818181818182</v>
      </c>
      <c r="AK8" s="6" t="n">
        <f aca="false">VLOOKUP($F8,Category!$A$2:$AZ$20,21,0)</f>
        <v>0.727272727272727</v>
      </c>
      <c r="AL8" s="6" t="n">
        <f aca="false">1</f>
        <v>1</v>
      </c>
      <c r="AM8" s="6" t="n">
        <f aca="false">VLOOKUP($F8,Category!$A$2:$AZ$20,19,0)</f>
        <v>0.181818181818182</v>
      </c>
      <c r="AN8" s="6" t="n">
        <f aca="false">VLOOKUP($F8,Category!$A$2:$AZ$20,21,0)</f>
        <v>0.727272727272727</v>
      </c>
      <c r="AO8" s="6" t="n">
        <f aca="false">VLOOKUP($E8,Role!$A$2:$O$9,10,0)</f>
        <v>1</v>
      </c>
      <c r="AP8" s="6" t="n">
        <f aca="false">VLOOKUP($F8,Category!$A$2:$AZ$20,9,0)</f>
        <v>0.222222222222222</v>
      </c>
      <c r="AQ8" s="6" t="n">
        <f aca="false">VLOOKUP($F8,Category!$A$2:$AZ$20,11,0)</f>
        <v>0.777777777777778</v>
      </c>
      <c r="AR8" s="6" t="n">
        <f aca="false">VLOOKUP($E8,Role!$A$2:$O$9,10,0)</f>
        <v>1</v>
      </c>
      <c r="AS8" s="6" t="n">
        <f aca="false">VLOOKUP($F8,Category!$A$2:$AZ$20,10,0)</f>
        <v>1</v>
      </c>
      <c r="AT8" s="7" t="n">
        <f aca="false">VLOOKUP($F8,Category!$A$2:$AZ$20,14,0)</f>
        <v>0.333333333333333</v>
      </c>
      <c r="AU8" s="7" t="n">
        <f aca="false">VLOOKUP($F8,Category!$A$2:$AZ$20,16,0)</f>
        <v>0.5</v>
      </c>
      <c r="AV8" s="7" t="n">
        <f aca="false">VLOOKUP($D8,Size!$A$2:$Z$13,17,0)</f>
        <v>3</v>
      </c>
      <c r="AW8" s="7" t="n">
        <f aca="false">VLOOKUP($F8,Category!$A$2:$AZ$20,29,0)</f>
        <v>0.333333333333333</v>
      </c>
      <c r="AX8" s="7" t="n">
        <f aca="false">VLOOKUP($F8,Category!$A$2:$AZ$20,31,0)</f>
        <v>0.444444444444444</v>
      </c>
      <c r="AY8" s="7" t="n">
        <f aca="false">VLOOKUP($D8,Size!$A$2:$Z$13,16,0)</f>
        <v>3</v>
      </c>
      <c r="AZ8" s="7" t="n">
        <f aca="false">VLOOKUP($E8,Role!$A$2:$O$9,11,0)</f>
        <v>0.5</v>
      </c>
      <c r="BB8" s="5" t="n">
        <f aca="false">VLOOKUP($D8,Size!$A$2:$Z$13,19,0)</f>
        <v>10</v>
      </c>
      <c r="BC8" s="5" t="n">
        <f aca="false">VLOOKUP($D8,Size!$A$2:$Z$13,20,0)</f>
        <v>1</v>
      </c>
      <c r="BD8" s="5" t="n">
        <f aca="false">VLOOKUP($E8,Role!$A$2:$O$9,13,0)</f>
        <v>0.75</v>
      </c>
      <c r="BE8" s="5" t="n">
        <f aca="false">VLOOKUP($C8,Type!$A$2:$B$4,2,0)</f>
        <v>1</v>
      </c>
    </row>
    <row r="9" customFormat="false" ht="12.8" hidden="false" customHeight="false" outlineLevel="0" collapsed="false">
      <c r="B9" s="2" t="n">
        <v>2</v>
      </c>
      <c r="C9" s="3" t="s">
        <v>51</v>
      </c>
      <c r="D9" s="1" t="s">
        <v>52</v>
      </c>
      <c r="E9" s="1" t="s">
        <v>56</v>
      </c>
      <c r="F9" s="1" t="s">
        <v>63</v>
      </c>
      <c r="G9" s="1" t="s">
        <v>55</v>
      </c>
      <c r="H9" s="4" t="n">
        <f aca="false">VLOOKUP($D9,Size!$A$2:$F$13,6,0)</f>
        <v>1</v>
      </c>
      <c r="J9" s="12" t="n">
        <f aca="false">INT(($B9*$AY9*$AW9*$AZ9)+($B9*$AX9))</f>
        <v>2</v>
      </c>
      <c r="K9" s="4" t="n">
        <f aca="false">ROUND((($B9*$AT9)+($AV9*$AU9)),0)</f>
        <v>2</v>
      </c>
      <c r="L9" s="4" t="n">
        <f aca="false">ROUND((($B9*$AP9)+($B9*$AQ9))*$AR9,0)</f>
        <v>1</v>
      </c>
      <c r="M9" s="4" t="n">
        <f aca="false">ROUND((($B9*$AM9)+($B9*$AN9))*$AO9,0)</f>
        <v>1</v>
      </c>
      <c r="N9" s="4" t="n">
        <f aca="false">ROUND((($B9*$AG9)+($B9*$AH9))*$AI9,0)</f>
        <v>1</v>
      </c>
      <c r="O9" s="4" t="n">
        <f aca="false">ROUND((($B9*$AJ9)+($B9*$AK9))*$AL9,0)</f>
        <v>1</v>
      </c>
      <c r="Q9" s="4" t="n">
        <f aca="false">INT(VLOOKUP($E9,Role!$A$2:$O$9,8,0)*$B9)</f>
        <v>2</v>
      </c>
      <c r="R9" s="4" t="n">
        <f aca="false">INT(VLOOKUP($E9,Role!$A$2:$O$9,9,0)*$B9)</f>
        <v>1</v>
      </c>
      <c r="S9" s="4" t="n">
        <f aca="false">INT(VLOOKUP($E9,Role!$A$2:$P$9,16,0)*$B9*$AS9)</f>
        <v>0</v>
      </c>
      <c r="T9" s="4" t="n">
        <f aca="false">INT(VLOOKUP($D9,Size!$A$2:$Z$13,18,0)*VLOOKUP($E9,Role!$A$2:$O$9,13,0)*$B9/2)</f>
        <v>19</v>
      </c>
      <c r="U9" s="4" t="n">
        <f aca="false">INT(($BB9*$BE9)+($J9*$BC9))</f>
        <v>12</v>
      </c>
      <c r="V9" s="4" t="n">
        <f aca="false">INT((10+$N9)*VLOOKUP($E9,Role!$A$2:$O$9,14,0))</f>
        <v>5</v>
      </c>
      <c r="W9" s="4" t="n">
        <f aca="false">INT($J9*VLOOKUP($E9,Role!$A$2:$O$9,12,0))</f>
        <v>2</v>
      </c>
      <c r="Y9" s="2" t="n">
        <f aca="false">ROUND(MAX($K9,$M9)+(MIN($K9,$M9)*VLOOKUP($E9,Role!$A$2:$O$9,14,0)),0)</f>
        <v>3</v>
      </c>
      <c r="Z9" s="2" t="n">
        <f aca="false">MAX(1,INT(((MIN($J9:$K9)+(MAX($J9:$K9)*$H9*VLOOKUP($E9,Role!$A$2:$O$9,15,0))))*VLOOKUP($G9,Movement!$A$2:$C$7,3,0)))</f>
        <v>3</v>
      </c>
      <c r="AB9" s="5" t="n">
        <f aca="false">INT(5+(($H9-1)/3))</f>
        <v>5</v>
      </c>
      <c r="AC9" s="5" t="n">
        <f aca="false">IF($AB9&lt;$J9,$J9-MAX($AB9,$B9),0)</f>
        <v>0</v>
      </c>
      <c r="AD9" s="5" t="n">
        <f aca="false">(5-ROUND(($H9-1)/3,0))</f>
        <v>5</v>
      </c>
      <c r="AE9" s="5" t="n">
        <f aca="false">IF($AD9&lt;$K9,$K9-MAX($AD9,$B9),0)</f>
        <v>0</v>
      </c>
      <c r="AG9" s="6" t="n">
        <f aca="false">VLOOKUP($F9,Category!$A$2:$AZ$20,24,0)</f>
        <v>0</v>
      </c>
      <c r="AH9" s="6" t="n">
        <f aca="false">VLOOKUP($F9,Category!$A$2:$AZ$20,26,0)</f>
        <v>1.11111111111111</v>
      </c>
      <c r="AI9" s="6" t="n">
        <f aca="false">VLOOKUP($E9,Role!$A$2:$O$9,10,0)</f>
        <v>0.5</v>
      </c>
      <c r="AJ9" s="6" t="n">
        <f aca="false">VLOOKUP($F9,Category!$A$2:$AZ$20,19,0)</f>
        <v>0.181818181818182</v>
      </c>
      <c r="AK9" s="6" t="n">
        <f aca="false">VLOOKUP($F9,Category!$A$2:$AZ$20,21,0)</f>
        <v>0.454545454545455</v>
      </c>
      <c r="AL9" s="6" t="n">
        <f aca="false">1</f>
        <v>1</v>
      </c>
      <c r="AM9" s="6" t="n">
        <f aca="false">VLOOKUP($F9,Category!$A$2:$AZ$20,19,0)</f>
        <v>0.181818181818182</v>
      </c>
      <c r="AN9" s="6" t="n">
        <f aca="false">VLOOKUP($F9,Category!$A$2:$AZ$20,21,0)</f>
        <v>0.454545454545455</v>
      </c>
      <c r="AO9" s="6" t="n">
        <f aca="false">VLOOKUP($E9,Role!$A$2:$O$9,10,0)</f>
        <v>0.5</v>
      </c>
      <c r="AP9" s="6" t="n">
        <f aca="false">VLOOKUP($F9,Category!$A$2:$AZ$20,9,0)</f>
        <v>0.222222222222222</v>
      </c>
      <c r="AQ9" s="6" t="n">
        <f aca="false">VLOOKUP($F9,Category!$A$2:$AZ$20,11,0)</f>
        <v>0.444444444444444</v>
      </c>
      <c r="AR9" s="6" t="n">
        <f aca="false">VLOOKUP($E9,Role!$A$2:$O$9,10,0)</f>
        <v>0.5</v>
      </c>
      <c r="AS9" s="6" t="n">
        <f aca="false">VLOOKUP($F9,Category!$A$2:$AZ$20,10,0)</f>
        <v>0.666666666666667</v>
      </c>
      <c r="AT9" s="7" t="n">
        <f aca="false">VLOOKUP($F9,Category!$A$2:$AZ$20,14,0)</f>
        <v>0.333333333333333</v>
      </c>
      <c r="AU9" s="7" t="n">
        <f aca="false">VLOOKUP($F9,Category!$A$2:$AZ$20,16,0)</f>
        <v>0.416666666666667</v>
      </c>
      <c r="AV9" s="7" t="n">
        <f aca="false">VLOOKUP($D9,Size!$A$2:$Z$13,17,0)</f>
        <v>3</v>
      </c>
      <c r="AW9" s="7" t="n">
        <f aca="false">VLOOKUP($F9,Category!$A$2:$AZ$20,29,0)</f>
        <v>0.333333333333333</v>
      </c>
      <c r="AX9" s="7" t="n">
        <f aca="false">VLOOKUP($F9,Category!$A$2:$AZ$20,31,0)</f>
        <v>0.333333333333333</v>
      </c>
      <c r="AY9" s="7" t="n">
        <f aca="false">VLOOKUP($D9,Size!$A$2:$Z$13,16,0)</f>
        <v>3</v>
      </c>
      <c r="AZ9" s="7" t="n">
        <f aca="false">VLOOKUP($E9,Role!$A$2:$O$9,11,0)</f>
        <v>1</v>
      </c>
      <c r="BB9" s="5" t="n">
        <f aca="false">VLOOKUP($D9,Size!$A$2:$Z$13,19,0)</f>
        <v>10</v>
      </c>
      <c r="BC9" s="5" t="n">
        <f aca="false">VLOOKUP($D9,Size!$A$2:$Z$13,20,0)</f>
        <v>1</v>
      </c>
      <c r="BD9" s="5" t="n">
        <f aca="false">VLOOKUP($E9,Role!$A$2:$O$9,13,0)</f>
        <v>1.5</v>
      </c>
      <c r="BE9" s="5" t="n">
        <f aca="false">VLOOKUP($C9,Type!$A$2:$B$4,2,0)</f>
        <v>1</v>
      </c>
    </row>
    <row r="10" customFormat="false" ht="12.8" hidden="false" customHeight="false" outlineLevel="0" collapsed="false">
      <c r="B10" s="2" t="n">
        <v>2</v>
      </c>
      <c r="C10" s="3" t="s">
        <v>51</v>
      </c>
      <c r="D10" s="1" t="s">
        <v>52</v>
      </c>
      <c r="E10" s="1" t="s">
        <v>53</v>
      </c>
      <c r="F10" s="1" t="s">
        <v>64</v>
      </c>
      <c r="G10" s="1" t="s">
        <v>55</v>
      </c>
      <c r="H10" s="4" t="n">
        <f aca="false">VLOOKUP($D10,Size!$A$2:$F$13,6,0)</f>
        <v>1</v>
      </c>
      <c r="J10" s="12" t="n">
        <f aca="false">INT(($B10*$AY10*$AW10*$AZ10)+($B10*$AX10))</f>
        <v>2</v>
      </c>
      <c r="K10" s="4" t="n">
        <f aca="false">ROUND((($B10*$AT10)+($AV10*$AU10)),0)</f>
        <v>2</v>
      </c>
      <c r="L10" s="4" t="n">
        <f aca="false">ROUND((($B10*$AP10)+($B10*$AQ10))*$AR10,0)</f>
        <v>2</v>
      </c>
      <c r="M10" s="4" t="n">
        <f aca="false">ROUND((($B10*$AM10)+($B10*$AN10))*$AO10,0)</f>
        <v>1</v>
      </c>
      <c r="N10" s="4" t="n">
        <f aca="false">ROUND((($B10*$AG10)+($B10*$AH10))*$AI10,0)</f>
        <v>2</v>
      </c>
      <c r="O10" s="4" t="n">
        <f aca="false">ROUND((($B10*$AJ10)+($B10*$AK10))*$AL10,0)</f>
        <v>2</v>
      </c>
      <c r="Q10" s="4" t="n">
        <f aca="false">INT(VLOOKUP($E10,Role!$A$2:$O$9,8,0)*$B10)</f>
        <v>1</v>
      </c>
      <c r="R10" s="4" t="n">
        <f aca="false">INT(VLOOKUP($E10,Role!$A$2:$O$9,9,0)*$B10)</f>
        <v>2</v>
      </c>
      <c r="S10" s="4" t="n">
        <f aca="false">INT(VLOOKUP($E10,Role!$A$2:$P$9,16,0)*$B10*$AS10)</f>
        <v>0</v>
      </c>
      <c r="T10" s="4" t="n">
        <f aca="false">INT(VLOOKUP($D10,Size!$A$2:$Z$13,18,0)*VLOOKUP($E10,Role!$A$2:$O$9,13,0)*$B10/2)</f>
        <v>6</v>
      </c>
      <c r="U10" s="4" t="n">
        <f aca="false">INT(($BB10*$BE10)+($J10*$BC10))</f>
        <v>12</v>
      </c>
      <c r="V10" s="4" t="n">
        <f aca="false">INT((10+$N10)*VLOOKUP($E10,Role!$A$2:$O$9,14,0))</f>
        <v>9</v>
      </c>
      <c r="W10" s="4" t="n">
        <f aca="false">INT($J10*VLOOKUP($E10,Role!$A$2:$O$9,12,0))</f>
        <v>1</v>
      </c>
      <c r="Y10" s="2" t="n">
        <f aca="false">ROUND(MAX($K10,$M10)+(MIN($K10,$M10)*VLOOKUP($E10,Role!$A$2:$O$9,14,0)),0)</f>
        <v>3</v>
      </c>
      <c r="Z10" s="2" t="n">
        <f aca="false">MAX(1,INT(((MIN($J10:$K10)+(MAX($J10:$K10)*$H10*VLOOKUP($E10,Role!$A$2:$O$9,15,0))))*VLOOKUP($G10,Movement!$A$2:$C$7,3,0)))</f>
        <v>3</v>
      </c>
      <c r="AB10" s="5" t="n">
        <f aca="false">INT(5+(($H10-1)/3))</f>
        <v>5</v>
      </c>
      <c r="AC10" s="5" t="n">
        <f aca="false">IF($AB10&lt;$J10,$J10-MAX($AB10,$B10),0)</f>
        <v>0</v>
      </c>
      <c r="AD10" s="5" t="n">
        <f aca="false">(5-ROUND(($H10-1)/3,0))</f>
        <v>5</v>
      </c>
      <c r="AE10" s="5" t="n">
        <f aca="false">IF($AD10&lt;$K10,$K10-MAX($AD10,$B10),0)</f>
        <v>0</v>
      </c>
      <c r="AG10" s="6" t="n">
        <f aca="false">VLOOKUP($F10,Category!$A$2:$AZ$20,24,0)</f>
        <v>0.111111111111111</v>
      </c>
      <c r="AH10" s="6" t="n">
        <f aca="false">VLOOKUP($F10,Category!$A$2:$AZ$20,26,0)</f>
        <v>1</v>
      </c>
      <c r="AI10" s="6" t="n">
        <f aca="false">VLOOKUP($E10,Role!$A$2:$O$9,10,0)</f>
        <v>0.75</v>
      </c>
      <c r="AJ10" s="6" t="n">
        <f aca="false">VLOOKUP($F10,Category!$A$2:$AZ$20,19,0)</f>
        <v>0.0909090909090909</v>
      </c>
      <c r="AK10" s="6" t="n">
        <f aca="false">VLOOKUP($F10,Category!$A$2:$AZ$20,21,0)</f>
        <v>0.818181818181818</v>
      </c>
      <c r="AL10" s="6" t="n">
        <f aca="false">1</f>
        <v>1</v>
      </c>
      <c r="AM10" s="6" t="n">
        <f aca="false">VLOOKUP($F10,Category!$A$2:$AZ$20,19,0)</f>
        <v>0.0909090909090909</v>
      </c>
      <c r="AN10" s="6" t="n">
        <f aca="false">VLOOKUP($F10,Category!$A$2:$AZ$20,21,0)</f>
        <v>0.818181818181818</v>
      </c>
      <c r="AO10" s="6" t="n">
        <f aca="false">VLOOKUP($E10,Role!$A$2:$O$9,10,0)</f>
        <v>0.75</v>
      </c>
      <c r="AP10" s="6" t="n">
        <f aca="false">VLOOKUP($F10,Category!$A$2:$AZ$20,9,0)</f>
        <v>0.111111111111111</v>
      </c>
      <c r="AQ10" s="6" t="n">
        <f aca="false">VLOOKUP($F10,Category!$A$2:$AZ$20,11,0)</f>
        <v>0.888888888888889</v>
      </c>
      <c r="AR10" s="6" t="n">
        <f aca="false">VLOOKUP($E10,Role!$A$2:$O$9,10,0)</f>
        <v>0.75</v>
      </c>
      <c r="AS10" s="6" t="n">
        <f aca="false">VLOOKUP($F10,Category!$A$2:$AZ$20,10,0)</f>
        <v>1</v>
      </c>
      <c r="AT10" s="7" t="n">
        <f aca="false">VLOOKUP($F10,Category!$A$2:$AZ$20,14,0)</f>
        <v>0.333333333333333</v>
      </c>
      <c r="AU10" s="7" t="n">
        <f aca="false">VLOOKUP($F10,Category!$A$2:$AZ$20,16,0)</f>
        <v>0.5</v>
      </c>
      <c r="AV10" s="7" t="n">
        <f aca="false">VLOOKUP($D10,Size!$A$2:$Z$13,17,0)</f>
        <v>3</v>
      </c>
      <c r="AW10" s="7" t="n">
        <f aca="false">VLOOKUP($F10,Category!$A$2:$AZ$20,29,0)</f>
        <v>0.333333333333333</v>
      </c>
      <c r="AX10" s="7" t="n">
        <f aca="false">VLOOKUP($F10,Category!$A$2:$AZ$20,31,0)</f>
        <v>0.555555555555556</v>
      </c>
      <c r="AY10" s="7" t="n">
        <f aca="false">VLOOKUP($D10,Size!$A$2:$Z$13,16,0)</f>
        <v>3</v>
      </c>
      <c r="AZ10" s="7" t="n">
        <f aca="false">VLOOKUP($E10,Role!$A$2:$O$9,11,0)</f>
        <v>0.5</v>
      </c>
      <c r="BB10" s="5" t="n">
        <f aca="false">VLOOKUP($D10,Size!$A$2:$Z$13,19,0)</f>
        <v>10</v>
      </c>
      <c r="BC10" s="5" t="n">
        <f aca="false">VLOOKUP($D10,Size!$A$2:$Z$13,20,0)</f>
        <v>1</v>
      </c>
      <c r="BD10" s="5" t="n">
        <f aca="false">VLOOKUP($E10,Role!$A$2:$O$9,13,0)</f>
        <v>0.5</v>
      </c>
      <c r="BE10" s="5" t="n">
        <f aca="false">VLOOKUP($C10,Type!$A$2:$B$4,2,0)</f>
        <v>1</v>
      </c>
    </row>
    <row r="11" customFormat="false" ht="12.8" hidden="false" customHeight="false" outlineLevel="0" collapsed="false">
      <c r="B11" s="2" t="n">
        <v>2</v>
      </c>
      <c r="C11" s="3" t="s">
        <v>51</v>
      </c>
      <c r="D11" s="1" t="s">
        <v>52</v>
      </c>
      <c r="E11" s="1" t="s">
        <v>56</v>
      </c>
      <c r="F11" s="1" t="s">
        <v>64</v>
      </c>
      <c r="G11" s="1" t="s">
        <v>55</v>
      </c>
      <c r="H11" s="4" t="n">
        <f aca="false">VLOOKUP($D11,Size!$A$2:$F$13,6,0)</f>
        <v>1</v>
      </c>
      <c r="J11" s="12" t="n">
        <f aca="false">INT(($B11*$AY11*$AW11*$AZ11)+($B11*$AX11))</f>
        <v>3</v>
      </c>
      <c r="K11" s="4" t="n">
        <f aca="false">ROUND((($B11*$AT11)+($AV11*$AU11)),0)</f>
        <v>2</v>
      </c>
      <c r="L11" s="4" t="n">
        <f aca="false">ROUND((($B11*$AP11)+($B11*$AQ11))*$AR11,0)</f>
        <v>1</v>
      </c>
      <c r="M11" s="4" t="n">
        <f aca="false">ROUND((($B11*$AM11)+($B11*$AN11))*$AO11,0)</f>
        <v>1</v>
      </c>
      <c r="N11" s="4" t="n">
        <f aca="false">ROUND((($B11*$AG11)+($B11*$AH11))*$AI11,0)</f>
        <v>1</v>
      </c>
      <c r="O11" s="4" t="n">
        <f aca="false">ROUND((($B11*$AJ11)+($B11*$AK11))*$AL11,0)</f>
        <v>2</v>
      </c>
      <c r="Q11" s="4" t="n">
        <f aca="false">INT(VLOOKUP($E11,Role!$A$2:$O$9,8,0)*$B11)</f>
        <v>2</v>
      </c>
      <c r="R11" s="4" t="n">
        <f aca="false">INT(VLOOKUP($E11,Role!$A$2:$O$9,9,0)*$B11)</f>
        <v>1</v>
      </c>
      <c r="S11" s="4" t="n">
        <f aca="false">INT(VLOOKUP($E11,Role!$A$2:$P$9,16,0)*$B11*$AS11)</f>
        <v>0</v>
      </c>
      <c r="T11" s="4" t="n">
        <f aca="false">INT(VLOOKUP($D11,Size!$A$2:$Z$13,18,0)*VLOOKUP($E11,Role!$A$2:$O$9,13,0)*$B11/2)</f>
        <v>19</v>
      </c>
      <c r="U11" s="4" t="n">
        <f aca="false">INT(($BB11*$BE11)+($J11*$BC11))</f>
        <v>13</v>
      </c>
      <c r="V11" s="4" t="n">
        <f aca="false">INT((10+$N11)*VLOOKUP($E11,Role!$A$2:$O$9,14,0))</f>
        <v>5</v>
      </c>
      <c r="W11" s="4" t="n">
        <f aca="false">INT($J11*VLOOKUP($E11,Role!$A$2:$O$9,12,0))</f>
        <v>3</v>
      </c>
      <c r="Y11" s="2" t="n">
        <f aca="false">ROUND(MAX($K11,$M11)+(MIN($K11,$M11)*VLOOKUP($E11,Role!$A$2:$O$9,14,0)),0)</f>
        <v>3</v>
      </c>
      <c r="Z11" s="2" t="n">
        <f aca="false">MAX(1,INT(((MIN($J11:$K11)+(MAX($J11:$K11)*$H11*VLOOKUP($E11,Role!$A$2:$O$9,15,0))))*VLOOKUP($G11,Movement!$A$2:$C$7,3,0)))</f>
        <v>3</v>
      </c>
      <c r="AB11" s="5" t="n">
        <f aca="false">INT(5+(($H11-1)/3))</f>
        <v>5</v>
      </c>
      <c r="AC11" s="5" t="n">
        <f aca="false">IF($AB11&lt;$J11,$J11-MAX($AB11,$B11),0)</f>
        <v>0</v>
      </c>
      <c r="AD11" s="5" t="n">
        <f aca="false">(5-ROUND(($H11-1)/3,0))</f>
        <v>5</v>
      </c>
      <c r="AE11" s="5" t="n">
        <f aca="false">IF($AD11&lt;$K11,$K11-MAX($AD11,$B11),0)</f>
        <v>0</v>
      </c>
      <c r="AG11" s="6" t="n">
        <f aca="false">VLOOKUP($F11,Category!$A$2:$AZ$20,24,0)</f>
        <v>0.111111111111111</v>
      </c>
      <c r="AH11" s="6" t="n">
        <f aca="false">VLOOKUP($F11,Category!$A$2:$AZ$20,26,0)</f>
        <v>1</v>
      </c>
      <c r="AI11" s="6" t="n">
        <f aca="false">VLOOKUP($E11,Role!$A$2:$O$9,10,0)</f>
        <v>0.5</v>
      </c>
      <c r="AJ11" s="6" t="n">
        <f aca="false">VLOOKUP($F11,Category!$A$2:$AZ$20,19,0)</f>
        <v>0.0909090909090909</v>
      </c>
      <c r="AK11" s="6" t="n">
        <f aca="false">VLOOKUP($F11,Category!$A$2:$AZ$20,21,0)</f>
        <v>0.818181818181818</v>
      </c>
      <c r="AL11" s="6" t="n">
        <f aca="false">1</f>
        <v>1</v>
      </c>
      <c r="AM11" s="6" t="n">
        <f aca="false">VLOOKUP($F11,Category!$A$2:$AZ$20,19,0)</f>
        <v>0.0909090909090909</v>
      </c>
      <c r="AN11" s="6" t="n">
        <f aca="false">VLOOKUP($F11,Category!$A$2:$AZ$20,21,0)</f>
        <v>0.818181818181818</v>
      </c>
      <c r="AO11" s="6" t="n">
        <f aca="false">VLOOKUP($E11,Role!$A$2:$O$9,10,0)</f>
        <v>0.5</v>
      </c>
      <c r="AP11" s="6" t="n">
        <f aca="false">VLOOKUP($F11,Category!$A$2:$AZ$20,9,0)</f>
        <v>0.111111111111111</v>
      </c>
      <c r="AQ11" s="6" t="n">
        <f aca="false">VLOOKUP($F11,Category!$A$2:$AZ$20,11,0)</f>
        <v>0.888888888888889</v>
      </c>
      <c r="AR11" s="6" t="n">
        <f aca="false">VLOOKUP($E11,Role!$A$2:$O$9,10,0)</f>
        <v>0.5</v>
      </c>
      <c r="AS11" s="6" t="n">
        <f aca="false">VLOOKUP($F11,Category!$A$2:$AZ$20,10,0)</f>
        <v>1</v>
      </c>
      <c r="AT11" s="7" t="n">
        <f aca="false">VLOOKUP($F11,Category!$A$2:$AZ$20,14,0)</f>
        <v>0.333333333333333</v>
      </c>
      <c r="AU11" s="7" t="n">
        <f aca="false">VLOOKUP($F11,Category!$A$2:$AZ$20,16,0)</f>
        <v>0.5</v>
      </c>
      <c r="AV11" s="7" t="n">
        <f aca="false">VLOOKUP($D11,Size!$A$2:$Z$13,17,0)</f>
        <v>3</v>
      </c>
      <c r="AW11" s="7" t="n">
        <f aca="false">VLOOKUP($F11,Category!$A$2:$AZ$20,29,0)</f>
        <v>0.333333333333333</v>
      </c>
      <c r="AX11" s="7" t="n">
        <f aca="false">VLOOKUP($F11,Category!$A$2:$AZ$20,31,0)</f>
        <v>0.555555555555556</v>
      </c>
      <c r="AY11" s="7" t="n">
        <f aca="false">VLOOKUP($D11,Size!$A$2:$Z$13,16,0)</f>
        <v>3</v>
      </c>
      <c r="AZ11" s="7" t="n">
        <f aca="false">VLOOKUP($E11,Role!$A$2:$O$9,11,0)</f>
        <v>1</v>
      </c>
      <c r="BB11" s="5" t="n">
        <f aca="false">VLOOKUP($D11,Size!$A$2:$Z$13,19,0)</f>
        <v>10</v>
      </c>
      <c r="BC11" s="5" t="n">
        <f aca="false">VLOOKUP($D11,Size!$A$2:$Z$13,20,0)</f>
        <v>1</v>
      </c>
      <c r="BD11" s="5" t="n">
        <f aca="false">VLOOKUP($E11,Role!$A$2:$O$9,13,0)</f>
        <v>1.5</v>
      </c>
      <c r="BE11" s="5" t="n">
        <f aca="false">VLOOKUP($C11,Type!$A$2:$B$4,2,0)</f>
        <v>1</v>
      </c>
    </row>
    <row r="12" customFormat="false" ht="12.8" hidden="false" customHeight="false" outlineLevel="0" collapsed="false">
      <c r="B12" s="2" t="n">
        <v>2</v>
      </c>
      <c r="C12" s="3" t="s">
        <v>51</v>
      </c>
      <c r="D12" s="1" t="s">
        <v>52</v>
      </c>
      <c r="E12" s="1" t="s">
        <v>58</v>
      </c>
      <c r="F12" s="1" t="s">
        <v>64</v>
      </c>
      <c r="G12" s="1" t="s">
        <v>55</v>
      </c>
      <c r="H12" s="4" t="n">
        <f aca="false">VLOOKUP($D12,Size!$A$2:$F$13,6,0)</f>
        <v>1</v>
      </c>
      <c r="J12" s="12" t="n">
        <f aca="false">INT(($B12*$AY12*$AW12*$AZ12)+($B12*$AX12))</f>
        <v>2</v>
      </c>
      <c r="K12" s="4" t="n">
        <f aca="false">ROUND((($B12*$AT12)+($AV12*$AU12)),0)</f>
        <v>2</v>
      </c>
      <c r="L12" s="4" t="n">
        <f aca="false">ROUND((($B12*$AP12)+($B12*$AQ12))*$AR12,0)</f>
        <v>2</v>
      </c>
      <c r="M12" s="4" t="n">
        <f aca="false">ROUND((($B12*$AM12)+($B12*$AN12))*$AO12,0)</f>
        <v>2</v>
      </c>
      <c r="N12" s="4" t="n">
        <f aca="false">ROUND((($B12*$AG12)+($B12*$AH12))*$AI12,0)</f>
        <v>2</v>
      </c>
      <c r="O12" s="4" t="n">
        <f aca="false">ROUND((($B12*$AJ12)+($B12*$AK12))*$AL12,0)</f>
        <v>2</v>
      </c>
      <c r="Q12" s="4" t="n">
        <f aca="false">INT(VLOOKUP($E12,Role!$A$2:$O$9,8,0)*$B12)</f>
        <v>1</v>
      </c>
      <c r="R12" s="4" t="n">
        <f aca="false">INT(VLOOKUP($E12,Role!$A$2:$O$9,9,0)*$B12)</f>
        <v>1</v>
      </c>
      <c r="S12" s="4" t="n">
        <f aca="false">INT(VLOOKUP($E12,Role!$A$2:$P$9,16,0)*$B12*$AS12)</f>
        <v>2</v>
      </c>
      <c r="T12" s="4" t="n">
        <f aca="false">INT(VLOOKUP($D12,Size!$A$2:$Z$13,18,0)*VLOOKUP($E12,Role!$A$2:$O$9,13,0)*$B12/2)</f>
        <v>9</v>
      </c>
      <c r="U12" s="4" t="n">
        <f aca="false">INT(($BB12*$BE12)+($J12*$BC12))</f>
        <v>12</v>
      </c>
      <c r="V12" s="4" t="n">
        <f aca="false">INT((10+$N12)*VLOOKUP($E12,Role!$A$2:$O$9,14,0))</f>
        <v>6</v>
      </c>
      <c r="W12" s="4" t="n">
        <f aca="false">INT($J12*VLOOKUP($E12,Role!$A$2:$O$9,12,0))</f>
        <v>1</v>
      </c>
      <c r="Y12" s="2" t="n">
        <f aca="false">ROUND(MAX($K12,$M12)+(MIN($K12,$M12)*VLOOKUP($E12,Role!$A$2:$O$9,14,0)),0)</f>
        <v>3</v>
      </c>
      <c r="Z12" s="2" t="n">
        <f aca="false">MAX(1,INT(((MIN($J12:$K12)+(MAX($J12:$K12)*$H12*VLOOKUP($E12,Role!$A$2:$O$9,15,0))))*VLOOKUP($G12,Movement!$A$2:$C$7,3,0)))</f>
        <v>4</v>
      </c>
      <c r="AB12" s="5" t="n">
        <f aca="false">INT(5+(($H12-1)/3))</f>
        <v>5</v>
      </c>
      <c r="AC12" s="5" t="n">
        <f aca="false">IF($AB12&lt;$J12,$J12-MAX($AB12,$B12),0)</f>
        <v>0</v>
      </c>
      <c r="AD12" s="5" t="n">
        <f aca="false">(5-ROUND(($H12-1)/3,0))</f>
        <v>5</v>
      </c>
      <c r="AE12" s="5" t="n">
        <f aca="false">IF($AD12&lt;$K12,$K12-MAX($AD12,$B12),0)</f>
        <v>0</v>
      </c>
      <c r="AG12" s="6" t="n">
        <f aca="false">VLOOKUP($F12,Category!$A$2:$AZ$20,24,0)</f>
        <v>0.111111111111111</v>
      </c>
      <c r="AH12" s="6" t="n">
        <f aca="false">VLOOKUP($F12,Category!$A$2:$AZ$20,26,0)</f>
        <v>1</v>
      </c>
      <c r="AI12" s="6" t="n">
        <f aca="false">VLOOKUP($E12,Role!$A$2:$O$9,10,0)</f>
        <v>1</v>
      </c>
      <c r="AJ12" s="6" t="n">
        <f aca="false">VLOOKUP($F12,Category!$A$2:$AZ$20,19,0)</f>
        <v>0.0909090909090909</v>
      </c>
      <c r="AK12" s="6" t="n">
        <f aca="false">VLOOKUP($F12,Category!$A$2:$AZ$20,21,0)</f>
        <v>0.818181818181818</v>
      </c>
      <c r="AL12" s="6" t="n">
        <f aca="false">1</f>
        <v>1</v>
      </c>
      <c r="AM12" s="6" t="n">
        <f aca="false">VLOOKUP($F12,Category!$A$2:$AZ$20,19,0)</f>
        <v>0.0909090909090909</v>
      </c>
      <c r="AN12" s="6" t="n">
        <f aca="false">VLOOKUP($F12,Category!$A$2:$AZ$20,21,0)</f>
        <v>0.818181818181818</v>
      </c>
      <c r="AO12" s="6" t="n">
        <f aca="false">VLOOKUP($E12,Role!$A$2:$O$9,10,0)</f>
        <v>1</v>
      </c>
      <c r="AP12" s="6" t="n">
        <f aca="false">VLOOKUP($F12,Category!$A$2:$AZ$20,9,0)</f>
        <v>0.111111111111111</v>
      </c>
      <c r="AQ12" s="6" t="n">
        <f aca="false">VLOOKUP($F12,Category!$A$2:$AZ$20,11,0)</f>
        <v>0.888888888888889</v>
      </c>
      <c r="AR12" s="6" t="n">
        <f aca="false">VLOOKUP($E12,Role!$A$2:$O$9,10,0)</f>
        <v>1</v>
      </c>
      <c r="AS12" s="6" t="n">
        <f aca="false">VLOOKUP($F12,Category!$A$2:$AZ$20,10,0)</f>
        <v>1</v>
      </c>
      <c r="AT12" s="7" t="n">
        <f aca="false">VLOOKUP($F12,Category!$A$2:$AZ$20,14,0)</f>
        <v>0.333333333333333</v>
      </c>
      <c r="AU12" s="7" t="n">
        <f aca="false">VLOOKUP($F12,Category!$A$2:$AZ$20,16,0)</f>
        <v>0.5</v>
      </c>
      <c r="AV12" s="7" t="n">
        <f aca="false">VLOOKUP($D12,Size!$A$2:$Z$13,17,0)</f>
        <v>3</v>
      </c>
      <c r="AW12" s="7" t="n">
        <f aca="false">VLOOKUP($F12,Category!$A$2:$AZ$20,29,0)</f>
        <v>0.333333333333333</v>
      </c>
      <c r="AX12" s="7" t="n">
        <f aca="false">VLOOKUP($F12,Category!$A$2:$AZ$20,31,0)</f>
        <v>0.555555555555556</v>
      </c>
      <c r="AY12" s="7" t="n">
        <f aca="false">VLOOKUP($D12,Size!$A$2:$Z$13,16,0)</f>
        <v>3</v>
      </c>
      <c r="AZ12" s="7" t="n">
        <f aca="false">VLOOKUP($E12,Role!$A$2:$O$9,11,0)</f>
        <v>0.5</v>
      </c>
      <c r="BB12" s="5" t="n">
        <f aca="false">VLOOKUP($D12,Size!$A$2:$Z$13,19,0)</f>
        <v>10</v>
      </c>
      <c r="BC12" s="5" t="n">
        <f aca="false">VLOOKUP($D12,Size!$A$2:$Z$13,20,0)</f>
        <v>1</v>
      </c>
      <c r="BD12" s="5" t="n">
        <f aca="false">VLOOKUP($E12,Role!$A$2:$O$9,13,0)</f>
        <v>0.75</v>
      </c>
      <c r="BE12" s="5" t="n">
        <f aca="false">VLOOKUP($C12,Type!$A$2:$B$4,2,0)</f>
        <v>1</v>
      </c>
    </row>
    <row r="13" customFormat="false" ht="12.8" hidden="false" customHeight="false" outlineLevel="0" collapsed="false">
      <c r="B13" s="2" t="n">
        <v>2</v>
      </c>
      <c r="C13" s="3" t="s">
        <v>51</v>
      </c>
      <c r="D13" s="1" t="s">
        <v>52</v>
      </c>
      <c r="E13" s="1" t="s">
        <v>59</v>
      </c>
      <c r="F13" s="1" t="s">
        <v>64</v>
      </c>
      <c r="G13" s="1" t="s">
        <v>55</v>
      </c>
      <c r="H13" s="4" t="n">
        <f aca="false">VLOOKUP($D13,Size!$A$2:$F$13,6,0)</f>
        <v>1</v>
      </c>
      <c r="J13" s="12" t="n">
        <f aca="false">INT(($B13*$AY13*$AW13*$AZ13)+($B13*$AX13))</f>
        <v>2</v>
      </c>
      <c r="K13" s="4" t="n">
        <f aca="false">ROUND((($B13*$AT13)+($AV13*$AU13)),0)</f>
        <v>2</v>
      </c>
      <c r="L13" s="4" t="n">
        <f aca="false">ROUND((($B13*$AP13)+($B13*$AQ13))*$AR13,0)</f>
        <v>1</v>
      </c>
      <c r="M13" s="4" t="n">
        <f aca="false">ROUND((($B13*$AM13)+($B13*$AN13))*$AO13,0)</f>
        <v>1</v>
      </c>
      <c r="N13" s="4" t="n">
        <f aca="false">ROUND((($B13*$AG13)+($B13*$AH13))*$AI13,0)</f>
        <v>1</v>
      </c>
      <c r="O13" s="4" t="n">
        <f aca="false">ROUND((($B13*$AJ13)+($B13*$AK13))*$AL13,0)</f>
        <v>2</v>
      </c>
      <c r="Q13" s="4" t="n">
        <f aca="false">INT(VLOOKUP($E13,Role!$A$2:$O$9,8,0)*$B13)</f>
        <v>2</v>
      </c>
      <c r="R13" s="4" t="n">
        <f aca="false">INT(VLOOKUP($E13,Role!$A$2:$O$9,9,0)*$B13)</f>
        <v>1</v>
      </c>
      <c r="S13" s="4" t="n">
        <f aca="false">INT(VLOOKUP($E13,Role!$A$2:$P$9,16,0)*$B13*$AS13)</f>
        <v>1</v>
      </c>
      <c r="T13" s="4" t="n">
        <f aca="false">INT(VLOOKUP($D13,Size!$A$2:$Z$13,18,0)*VLOOKUP($E13,Role!$A$2:$O$9,13,0)*$B13/2)</f>
        <v>13</v>
      </c>
      <c r="U13" s="4" t="n">
        <f aca="false">INT(($BB13*$BE13)+($J13*$BC13))</f>
        <v>12</v>
      </c>
      <c r="V13" s="4" t="n">
        <f aca="false">INT((10+$N13)*VLOOKUP($E13,Role!$A$2:$O$9,14,0))</f>
        <v>11</v>
      </c>
      <c r="W13" s="4" t="n">
        <f aca="false">INT($J13*VLOOKUP($E13,Role!$A$2:$O$9,12,0))</f>
        <v>1</v>
      </c>
      <c r="Y13" s="2" t="n">
        <f aca="false">ROUND(MAX($K13,$M13)+(MIN($K13,$M13)*VLOOKUP($E13,Role!$A$2:$O$9,14,0)),0)</f>
        <v>3</v>
      </c>
      <c r="Z13" s="2" t="n">
        <f aca="false">MAX(1,INT(((MIN($J13:$K13)+(MAX($J13:$K13)*$H13*VLOOKUP($E13,Role!$A$2:$O$9,15,0))))*VLOOKUP($G13,Movement!$A$2:$C$7,3,0)))</f>
        <v>5</v>
      </c>
      <c r="AB13" s="5" t="n">
        <f aca="false">INT(5+(($H13-1)/3))</f>
        <v>5</v>
      </c>
      <c r="AC13" s="5" t="n">
        <f aca="false">IF($AB13&lt;$J13,$J13-MAX($AB13,$B13),0)</f>
        <v>0</v>
      </c>
      <c r="AD13" s="5" t="n">
        <f aca="false">(5-ROUND(($H13-1)/3,0))</f>
        <v>5</v>
      </c>
      <c r="AE13" s="5" t="n">
        <f aca="false">IF($AD13&lt;$K13,$K13-MAX($AD13,$B13),0)</f>
        <v>0</v>
      </c>
      <c r="AG13" s="6" t="n">
        <f aca="false">VLOOKUP($F13,Category!$A$2:$AZ$20,24,0)</f>
        <v>0.111111111111111</v>
      </c>
      <c r="AH13" s="6" t="n">
        <f aca="false">VLOOKUP($F13,Category!$A$2:$AZ$20,26,0)</f>
        <v>1</v>
      </c>
      <c r="AI13" s="6" t="n">
        <f aca="false">VLOOKUP($E13,Role!$A$2:$O$9,10,0)</f>
        <v>0.5</v>
      </c>
      <c r="AJ13" s="6" t="n">
        <f aca="false">VLOOKUP($F13,Category!$A$2:$AZ$20,19,0)</f>
        <v>0.0909090909090909</v>
      </c>
      <c r="AK13" s="6" t="n">
        <f aca="false">VLOOKUP($F13,Category!$A$2:$AZ$20,21,0)</f>
        <v>0.818181818181818</v>
      </c>
      <c r="AL13" s="6" t="n">
        <f aca="false">1</f>
        <v>1</v>
      </c>
      <c r="AM13" s="6" t="n">
        <f aca="false">VLOOKUP($F13,Category!$A$2:$AZ$20,19,0)</f>
        <v>0.0909090909090909</v>
      </c>
      <c r="AN13" s="6" t="n">
        <f aca="false">VLOOKUP($F13,Category!$A$2:$AZ$20,21,0)</f>
        <v>0.818181818181818</v>
      </c>
      <c r="AO13" s="6" t="n">
        <f aca="false">VLOOKUP($E13,Role!$A$2:$O$9,10,0)</f>
        <v>0.5</v>
      </c>
      <c r="AP13" s="6" t="n">
        <f aca="false">VLOOKUP($F13,Category!$A$2:$AZ$20,9,0)</f>
        <v>0.111111111111111</v>
      </c>
      <c r="AQ13" s="6" t="n">
        <f aca="false">VLOOKUP($F13,Category!$A$2:$AZ$20,11,0)</f>
        <v>0.888888888888889</v>
      </c>
      <c r="AR13" s="6" t="n">
        <f aca="false">VLOOKUP($E13,Role!$A$2:$O$9,10,0)</f>
        <v>0.5</v>
      </c>
      <c r="AS13" s="6" t="n">
        <f aca="false">VLOOKUP($F13,Category!$A$2:$AZ$20,10,0)</f>
        <v>1</v>
      </c>
      <c r="AT13" s="7" t="n">
        <f aca="false">VLOOKUP($F13,Category!$A$2:$AZ$20,14,0)</f>
        <v>0.333333333333333</v>
      </c>
      <c r="AU13" s="7" t="n">
        <f aca="false">VLOOKUP($F13,Category!$A$2:$AZ$20,16,0)</f>
        <v>0.5</v>
      </c>
      <c r="AV13" s="7" t="n">
        <f aca="false">VLOOKUP($D13,Size!$A$2:$Z$13,17,0)</f>
        <v>3</v>
      </c>
      <c r="AW13" s="7" t="n">
        <f aca="false">VLOOKUP($F13,Category!$A$2:$AZ$20,29,0)</f>
        <v>0.333333333333333</v>
      </c>
      <c r="AX13" s="7" t="n">
        <f aca="false">VLOOKUP($F13,Category!$A$2:$AZ$20,31,0)</f>
        <v>0.555555555555556</v>
      </c>
      <c r="AY13" s="7" t="n">
        <f aca="false">VLOOKUP($D13,Size!$A$2:$Z$13,16,0)</f>
        <v>3</v>
      </c>
      <c r="AZ13" s="7" t="n">
        <f aca="false">VLOOKUP($E13,Role!$A$2:$O$9,11,0)</f>
        <v>0.75</v>
      </c>
      <c r="BB13" s="5" t="n">
        <f aca="false">VLOOKUP($D13,Size!$A$2:$Z$13,19,0)</f>
        <v>10</v>
      </c>
      <c r="BC13" s="5" t="n">
        <f aca="false">VLOOKUP($D13,Size!$A$2:$Z$13,20,0)</f>
        <v>1</v>
      </c>
      <c r="BD13" s="5" t="n">
        <f aca="false">VLOOKUP($E13,Role!$A$2:$O$9,13,0)</f>
        <v>1</v>
      </c>
      <c r="BE13" s="5" t="n">
        <f aca="false">VLOOKUP($C13,Type!$A$2:$B$4,2,0)</f>
        <v>1</v>
      </c>
    </row>
    <row r="14" customFormat="false" ht="12.8" hidden="false" customHeight="false" outlineLevel="0" collapsed="false">
      <c r="B14" s="2" t="n">
        <v>2</v>
      </c>
      <c r="C14" s="3" t="s">
        <v>51</v>
      </c>
      <c r="D14" s="1" t="s">
        <v>52</v>
      </c>
      <c r="E14" s="1" t="s">
        <v>60</v>
      </c>
      <c r="F14" s="1" t="s">
        <v>64</v>
      </c>
      <c r="G14" s="1" t="s">
        <v>55</v>
      </c>
      <c r="H14" s="4" t="n">
        <f aca="false">VLOOKUP($D14,Size!$A$2:$F$13,6,0)</f>
        <v>1</v>
      </c>
      <c r="J14" s="12" t="n">
        <f aca="false">INT(($B14*$AY14*$AW14*$AZ14)+($B14*$AX14))</f>
        <v>2</v>
      </c>
      <c r="K14" s="4" t="n">
        <f aca="false">ROUND((($B14*$AT14)+($AV14*$AU14)),0)</f>
        <v>2</v>
      </c>
      <c r="L14" s="4" t="n">
        <f aca="false">ROUND((($B14*$AP14)+($B14*$AQ14))*$AR14,0)</f>
        <v>2</v>
      </c>
      <c r="M14" s="4" t="n">
        <f aca="false">ROUND((($B14*$AM14)+($B14*$AN14))*$AO14,0)</f>
        <v>1</v>
      </c>
      <c r="N14" s="4" t="n">
        <f aca="false">ROUND((($B14*$AG14)+($B14*$AH14))*$AI14,0)</f>
        <v>2</v>
      </c>
      <c r="O14" s="4" t="n">
        <f aca="false">ROUND((($B14*$AJ14)+($B14*$AK14))*$AL14,0)</f>
        <v>2</v>
      </c>
      <c r="Q14" s="4" t="n">
        <f aca="false">INT(VLOOKUP($E14,Role!$A$2:$O$9,8,0)*$B14)</f>
        <v>1</v>
      </c>
      <c r="R14" s="4" t="n">
        <f aca="false">INT(VLOOKUP($E14,Role!$A$2:$O$9,9,0)*$B14)</f>
        <v>2</v>
      </c>
      <c r="S14" s="4" t="n">
        <f aca="false">INT(VLOOKUP($E14,Role!$A$2:$P$9,16,0)*$B14*$AS14)</f>
        <v>1</v>
      </c>
      <c r="T14" s="4" t="n">
        <f aca="false">INT(VLOOKUP($D14,Size!$A$2:$Z$13,18,0)*VLOOKUP($E14,Role!$A$2:$O$9,13,0)*$B14/2)</f>
        <v>9</v>
      </c>
      <c r="U14" s="4" t="n">
        <f aca="false">INT(($BB14*$BE14)+($J14*$BC14))</f>
        <v>12</v>
      </c>
      <c r="V14" s="4" t="n">
        <f aca="false">INT((10+$N14)*VLOOKUP($E14,Role!$A$2:$O$9,14,0))</f>
        <v>9</v>
      </c>
      <c r="W14" s="4" t="n">
        <f aca="false">INT($J14*VLOOKUP($E14,Role!$A$2:$O$9,12,0))</f>
        <v>1</v>
      </c>
      <c r="Y14" s="2" t="n">
        <f aca="false">ROUND(MAX($K14,$M14)+(MIN($K14,$M14)*VLOOKUP($E14,Role!$A$2:$O$9,14,0)),0)</f>
        <v>3</v>
      </c>
      <c r="Z14" s="2" t="n">
        <f aca="false">MAX(1,INT(((MIN($J14:$K14)+(MAX($J14:$K14)*$H14*VLOOKUP($E14,Role!$A$2:$O$9,15,0))))*VLOOKUP($G14,Movement!$A$2:$C$7,3,0)))</f>
        <v>5</v>
      </c>
      <c r="AB14" s="5" t="n">
        <f aca="false">INT(5+(($H14-1)/3))</f>
        <v>5</v>
      </c>
      <c r="AC14" s="5" t="n">
        <f aca="false">IF($AB14&lt;$J14,$J14-MAX($AB14,$B14),0)</f>
        <v>0</v>
      </c>
      <c r="AD14" s="5" t="n">
        <f aca="false">(5-ROUND(($H14-1)/3,0))</f>
        <v>5</v>
      </c>
      <c r="AE14" s="5" t="n">
        <f aca="false">IF($AD14&lt;$K14,$K14-MAX($AD14,$B14),0)</f>
        <v>0</v>
      </c>
      <c r="AG14" s="6" t="n">
        <f aca="false">VLOOKUP($F14,Category!$A$2:$AZ$20,24,0)</f>
        <v>0.111111111111111</v>
      </c>
      <c r="AH14" s="6" t="n">
        <f aca="false">VLOOKUP($F14,Category!$A$2:$AZ$20,26,0)</f>
        <v>1</v>
      </c>
      <c r="AI14" s="6" t="n">
        <f aca="false">VLOOKUP($E14,Role!$A$2:$O$9,10,0)</f>
        <v>0.75</v>
      </c>
      <c r="AJ14" s="6" t="n">
        <f aca="false">VLOOKUP($F14,Category!$A$2:$AZ$20,19,0)</f>
        <v>0.0909090909090909</v>
      </c>
      <c r="AK14" s="6" t="n">
        <f aca="false">VLOOKUP($F14,Category!$A$2:$AZ$20,21,0)</f>
        <v>0.818181818181818</v>
      </c>
      <c r="AL14" s="6" t="n">
        <f aca="false">1</f>
        <v>1</v>
      </c>
      <c r="AM14" s="6" t="n">
        <f aca="false">VLOOKUP($F14,Category!$A$2:$AZ$20,19,0)</f>
        <v>0.0909090909090909</v>
      </c>
      <c r="AN14" s="6" t="n">
        <f aca="false">VLOOKUP($F14,Category!$A$2:$AZ$20,21,0)</f>
        <v>0.818181818181818</v>
      </c>
      <c r="AO14" s="6" t="n">
        <f aca="false">VLOOKUP($E14,Role!$A$2:$O$9,10,0)</f>
        <v>0.75</v>
      </c>
      <c r="AP14" s="6" t="n">
        <f aca="false">VLOOKUP($F14,Category!$A$2:$AZ$20,9,0)</f>
        <v>0.111111111111111</v>
      </c>
      <c r="AQ14" s="6" t="n">
        <f aca="false">VLOOKUP($F14,Category!$A$2:$AZ$20,11,0)</f>
        <v>0.888888888888889</v>
      </c>
      <c r="AR14" s="6" t="n">
        <f aca="false">VLOOKUP($E14,Role!$A$2:$O$9,10,0)</f>
        <v>0.75</v>
      </c>
      <c r="AS14" s="6" t="n">
        <f aca="false">VLOOKUP($F14,Category!$A$2:$AZ$20,10,0)</f>
        <v>1</v>
      </c>
      <c r="AT14" s="7" t="n">
        <f aca="false">VLOOKUP($F14,Category!$A$2:$AZ$20,14,0)</f>
        <v>0.333333333333333</v>
      </c>
      <c r="AU14" s="7" t="n">
        <f aca="false">VLOOKUP($F14,Category!$A$2:$AZ$20,16,0)</f>
        <v>0.5</v>
      </c>
      <c r="AV14" s="7" t="n">
        <f aca="false">VLOOKUP($D14,Size!$A$2:$Z$13,17,0)</f>
        <v>3</v>
      </c>
      <c r="AW14" s="7" t="n">
        <f aca="false">VLOOKUP($F14,Category!$A$2:$AZ$20,29,0)</f>
        <v>0.333333333333333</v>
      </c>
      <c r="AX14" s="7" t="n">
        <f aca="false">VLOOKUP($F14,Category!$A$2:$AZ$20,31,0)</f>
        <v>0.555555555555556</v>
      </c>
      <c r="AY14" s="7" t="n">
        <f aca="false">VLOOKUP($D14,Size!$A$2:$Z$13,16,0)</f>
        <v>3</v>
      </c>
      <c r="AZ14" s="7" t="n">
        <f aca="false">VLOOKUP($E14,Role!$A$2:$O$9,11,0)</f>
        <v>0.75</v>
      </c>
      <c r="BB14" s="5" t="n">
        <f aca="false">VLOOKUP($D14,Size!$A$2:$Z$13,19,0)</f>
        <v>10</v>
      </c>
      <c r="BC14" s="5" t="n">
        <f aca="false">VLOOKUP($D14,Size!$A$2:$Z$13,20,0)</f>
        <v>1</v>
      </c>
      <c r="BD14" s="5" t="n">
        <f aca="false">VLOOKUP($E14,Role!$A$2:$O$9,13,0)</f>
        <v>0.75</v>
      </c>
      <c r="BE14" s="5" t="n">
        <f aca="false">VLOOKUP($C14,Type!$A$2:$B$4,2,0)</f>
        <v>1</v>
      </c>
    </row>
    <row r="15" customFormat="false" ht="12.8" hidden="false" customHeight="false" outlineLevel="0" collapsed="false">
      <c r="B15" s="2" t="n">
        <v>2</v>
      </c>
      <c r="C15" s="3" t="s">
        <v>51</v>
      </c>
      <c r="D15" s="1" t="s">
        <v>52</v>
      </c>
      <c r="E15" s="1" t="s">
        <v>61</v>
      </c>
      <c r="F15" s="1" t="s">
        <v>64</v>
      </c>
      <c r="G15" s="1" t="s">
        <v>55</v>
      </c>
      <c r="H15" s="4" t="n">
        <f aca="false">VLOOKUP($D15,Size!$A$2:$F$13,6,0)</f>
        <v>1</v>
      </c>
      <c r="J15" s="12" t="n">
        <f aca="false">INT(($B15*$AY15*$AW15*$AZ15)+($B15*$AX15))</f>
        <v>2</v>
      </c>
      <c r="K15" s="4" t="n">
        <f aca="false">ROUND((($B15*$AT15)+($AV15*$AU15)),0)</f>
        <v>2</v>
      </c>
      <c r="L15" s="4" t="n">
        <f aca="false">ROUND((($B15*$AP15)+($B15*$AQ15))*$AR15,0)</f>
        <v>2</v>
      </c>
      <c r="M15" s="4" t="n">
        <f aca="false">ROUND((($B15*$AM15)+($B15*$AN15))*$AO15,0)</f>
        <v>2</v>
      </c>
      <c r="N15" s="4" t="n">
        <f aca="false">ROUND((($B15*$AG15)+($B15*$AH15))*$AI15,0)</f>
        <v>2</v>
      </c>
      <c r="O15" s="4" t="n">
        <f aca="false">ROUND((($B15*$AJ15)+($B15*$AK15))*$AL15,0)</f>
        <v>2</v>
      </c>
      <c r="Q15" s="4" t="n">
        <f aca="false">INT(VLOOKUP($E15,Role!$A$2:$O$9,8,0)*$B15)</f>
        <v>1</v>
      </c>
      <c r="R15" s="4" t="n">
        <f aca="false">INT(VLOOKUP($E15,Role!$A$2:$O$9,9,0)*$B15)</f>
        <v>1</v>
      </c>
      <c r="S15" s="4" t="n">
        <f aca="false">INT(VLOOKUP($E15,Role!$A$2:$P$9,16,0)*$B15*$AS15)</f>
        <v>1</v>
      </c>
      <c r="T15" s="4" t="n">
        <f aca="false">INT(VLOOKUP($D15,Size!$A$2:$Z$13,18,0)*VLOOKUP($E15,Role!$A$2:$O$9,13,0)*$B15/2)</f>
        <v>13</v>
      </c>
      <c r="U15" s="4" t="n">
        <f aca="false">INT(($BB15*$BE15)+($J15*$BC15))</f>
        <v>12</v>
      </c>
      <c r="V15" s="4" t="n">
        <f aca="false">INT((10+$N15)*VLOOKUP($E15,Role!$A$2:$O$9,14,0))</f>
        <v>9</v>
      </c>
      <c r="W15" s="4" t="n">
        <f aca="false">INT($J15*VLOOKUP($E15,Role!$A$2:$O$9,12,0))</f>
        <v>1</v>
      </c>
      <c r="Y15" s="2" t="n">
        <f aca="false">ROUND(MAX($K15,$M15)+(MIN($K15,$M15)*VLOOKUP($E15,Role!$A$2:$O$9,14,0)),0)</f>
        <v>4</v>
      </c>
      <c r="Z15" s="2" t="n">
        <f aca="false">MAX(1,INT(((MIN($J15:$K15)+(MAX($J15:$K15)*$H15*VLOOKUP($E15,Role!$A$2:$O$9,15,0))))*VLOOKUP($G15,Movement!$A$2:$C$7,3,0)))</f>
        <v>4</v>
      </c>
      <c r="AB15" s="5" t="n">
        <f aca="false">INT(5+(($H15-1)/3))</f>
        <v>5</v>
      </c>
      <c r="AC15" s="5" t="n">
        <f aca="false">IF($AB15&lt;$J15,$J15-MAX($AB15,$B15),0)</f>
        <v>0</v>
      </c>
      <c r="AD15" s="5" t="n">
        <f aca="false">(5-ROUND(($H15-1)/3,0))</f>
        <v>5</v>
      </c>
      <c r="AE15" s="5" t="n">
        <f aca="false">IF($AD15&lt;$K15,$K15-MAX($AD15,$B15),0)</f>
        <v>0</v>
      </c>
      <c r="AG15" s="6" t="n">
        <f aca="false">VLOOKUP($F15,Category!$A$2:$AZ$20,24,0)</f>
        <v>0.111111111111111</v>
      </c>
      <c r="AH15" s="6" t="n">
        <f aca="false">VLOOKUP($F15,Category!$A$2:$AZ$20,26,0)</f>
        <v>1</v>
      </c>
      <c r="AI15" s="6" t="n">
        <f aca="false">VLOOKUP($E15,Role!$A$2:$O$9,10,0)</f>
        <v>1</v>
      </c>
      <c r="AJ15" s="6" t="n">
        <f aca="false">VLOOKUP($F15,Category!$A$2:$AZ$20,19,0)</f>
        <v>0.0909090909090909</v>
      </c>
      <c r="AK15" s="6" t="n">
        <f aca="false">VLOOKUP($F15,Category!$A$2:$AZ$20,21,0)</f>
        <v>0.818181818181818</v>
      </c>
      <c r="AL15" s="6" t="n">
        <f aca="false">1</f>
        <v>1</v>
      </c>
      <c r="AM15" s="6" t="n">
        <f aca="false">VLOOKUP($F15,Category!$A$2:$AZ$20,19,0)</f>
        <v>0.0909090909090909</v>
      </c>
      <c r="AN15" s="6" t="n">
        <f aca="false">VLOOKUP($F15,Category!$A$2:$AZ$20,21,0)</f>
        <v>0.818181818181818</v>
      </c>
      <c r="AO15" s="6" t="n">
        <f aca="false">VLOOKUP($E15,Role!$A$2:$O$9,10,0)</f>
        <v>1</v>
      </c>
      <c r="AP15" s="6" t="n">
        <f aca="false">VLOOKUP($F15,Category!$A$2:$AZ$20,9,0)</f>
        <v>0.111111111111111</v>
      </c>
      <c r="AQ15" s="6" t="n">
        <f aca="false">VLOOKUP($F15,Category!$A$2:$AZ$20,11,0)</f>
        <v>0.888888888888889</v>
      </c>
      <c r="AR15" s="6" t="n">
        <f aca="false">VLOOKUP($E15,Role!$A$2:$O$9,10,0)</f>
        <v>1</v>
      </c>
      <c r="AS15" s="6" t="n">
        <f aca="false">VLOOKUP($F15,Category!$A$2:$AZ$20,10,0)</f>
        <v>1</v>
      </c>
      <c r="AT15" s="7" t="n">
        <f aca="false">VLOOKUP($F15,Category!$A$2:$AZ$20,14,0)</f>
        <v>0.333333333333333</v>
      </c>
      <c r="AU15" s="7" t="n">
        <f aca="false">VLOOKUP($F15,Category!$A$2:$AZ$20,16,0)</f>
        <v>0.5</v>
      </c>
      <c r="AV15" s="7" t="n">
        <f aca="false">VLOOKUP($D15,Size!$A$2:$Z$13,17,0)</f>
        <v>3</v>
      </c>
      <c r="AW15" s="7" t="n">
        <f aca="false">VLOOKUP($F15,Category!$A$2:$AZ$20,29,0)</f>
        <v>0.333333333333333</v>
      </c>
      <c r="AX15" s="7" t="n">
        <f aca="false">VLOOKUP($F15,Category!$A$2:$AZ$20,31,0)</f>
        <v>0.555555555555556</v>
      </c>
      <c r="AY15" s="7" t="n">
        <f aca="false">VLOOKUP($D15,Size!$A$2:$Z$13,16,0)</f>
        <v>3</v>
      </c>
      <c r="AZ15" s="7" t="n">
        <f aca="false">VLOOKUP($E15,Role!$A$2:$O$9,11,0)</f>
        <v>0.75</v>
      </c>
      <c r="BB15" s="5" t="n">
        <f aca="false">VLOOKUP($D15,Size!$A$2:$Z$13,19,0)</f>
        <v>10</v>
      </c>
      <c r="BC15" s="5" t="n">
        <f aca="false">VLOOKUP($D15,Size!$A$2:$Z$13,20,0)</f>
        <v>1</v>
      </c>
      <c r="BD15" s="5" t="n">
        <f aca="false">VLOOKUP($E15,Role!$A$2:$O$9,13,0)</f>
        <v>1</v>
      </c>
      <c r="BE15" s="5" t="n">
        <f aca="false">VLOOKUP($C15,Type!$A$2:$B$4,2,0)</f>
        <v>1</v>
      </c>
    </row>
    <row r="16" customFormat="false" ht="12.8" hidden="false" customHeight="false" outlineLevel="0" collapsed="false">
      <c r="B16" s="2" t="n">
        <v>2</v>
      </c>
      <c r="C16" s="3" t="s">
        <v>51</v>
      </c>
      <c r="D16" s="1" t="s">
        <v>52</v>
      </c>
      <c r="E16" s="1" t="s">
        <v>62</v>
      </c>
      <c r="F16" s="1" t="s">
        <v>64</v>
      </c>
      <c r="G16" s="1" t="s">
        <v>55</v>
      </c>
      <c r="H16" s="4" t="n">
        <f aca="false">VLOOKUP($D16,Size!$A$2:$F$13,6,0)</f>
        <v>1</v>
      </c>
      <c r="J16" s="12" t="n">
        <f aca="false">INT(($B16*$AY16*$AW16*$AZ16)+($B16*$AX16))</f>
        <v>2</v>
      </c>
      <c r="K16" s="4" t="n">
        <f aca="false">ROUND((($B16*$AT16)+($AV16*$AU16)),0)</f>
        <v>2</v>
      </c>
      <c r="L16" s="4" t="n">
        <f aca="false">ROUND((($B16*$AP16)+($B16*$AQ16))*$AR16,0)</f>
        <v>2</v>
      </c>
      <c r="M16" s="4" t="n">
        <f aca="false">ROUND((($B16*$AM16)+($B16*$AN16))*$AO16,0)</f>
        <v>2</v>
      </c>
      <c r="N16" s="4" t="n">
        <f aca="false">ROUND((($B16*$AG16)+($B16*$AH16))*$AI16,0)</f>
        <v>2</v>
      </c>
      <c r="O16" s="4" t="n">
        <f aca="false">ROUND((($B16*$AJ16)+($B16*$AK16))*$AL16,0)</f>
        <v>2</v>
      </c>
      <c r="Q16" s="4" t="n">
        <f aca="false">INT(VLOOKUP($E16,Role!$A$2:$O$9,8,0)*$B16)</f>
        <v>1</v>
      </c>
      <c r="R16" s="4" t="n">
        <f aca="false">INT(VLOOKUP($E16,Role!$A$2:$O$9,9,0)*$B16)</f>
        <v>1</v>
      </c>
      <c r="S16" s="4" t="n">
        <f aca="false">INT(VLOOKUP($E16,Role!$A$2:$P$9,16,0)*$B16*$AS16)</f>
        <v>1</v>
      </c>
      <c r="T16" s="4" t="n">
        <f aca="false">INT(VLOOKUP($D16,Size!$A$2:$Z$13,18,0)*VLOOKUP($E16,Role!$A$2:$O$9,13,0)*$B16/2)</f>
        <v>9</v>
      </c>
      <c r="U16" s="4" t="n">
        <f aca="false">INT(($BB16*$BE16)+($J16*$BC16))</f>
        <v>12</v>
      </c>
      <c r="V16" s="4" t="n">
        <f aca="false">INT((10+$N16)*VLOOKUP($E16,Role!$A$2:$O$9,14,0))</f>
        <v>12</v>
      </c>
      <c r="W16" s="4" t="n">
        <f aca="false">INT($J16*VLOOKUP($E16,Role!$A$2:$O$9,12,0))</f>
        <v>1</v>
      </c>
      <c r="Y16" s="2" t="n">
        <f aca="false">ROUND(MAX($K16,$M16)+(MIN($K16,$M16)*VLOOKUP($E16,Role!$A$2:$O$9,14,0)),0)</f>
        <v>4</v>
      </c>
      <c r="Z16" s="2" t="n">
        <f aca="false">MAX(1,INT(((MIN($J16:$K16)+(MAX($J16:$K16)*$H16*VLOOKUP($E16,Role!$A$2:$O$9,15,0))))*VLOOKUP($G16,Movement!$A$2:$C$7,3,0)))</f>
        <v>5</v>
      </c>
      <c r="AB16" s="5" t="n">
        <f aca="false">INT(5+(($H16-1)/3))</f>
        <v>5</v>
      </c>
      <c r="AC16" s="5" t="n">
        <f aca="false">IF($AB16&lt;$J16,$J16-MAX($AB16,$B16),0)</f>
        <v>0</v>
      </c>
      <c r="AD16" s="5" t="n">
        <f aca="false">(5-ROUND(($H16-1)/3,0))</f>
        <v>5</v>
      </c>
      <c r="AE16" s="5" t="n">
        <f aca="false">IF($AD16&lt;$K16,$K16-MAX($AD16,$B16),0)</f>
        <v>0</v>
      </c>
      <c r="AG16" s="6" t="n">
        <f aca="false">VLOOKUP($F16,Category!$A$2:$AZ$20,24,0)</f>
        <v>0.111111111111111</v>
      </c>
      <c r="AH16" s="6" t="n">
        <f aca="false">VLOOKUP($F16,Category!$A$2:$AZ$20,26,0)</f>
        <v>1</v>
      </c>
      <c r="AI16" s="6" t="n">
        <f aca="false">VLOOKUP($E16,Role!$A$2:$O$9,10,0)</f>
        <v>1</v>
      </c>
      <c r="AJ16" s="6" t="n">
        <f aca="false">VLOOKUP($F16,Category!$A$2:$AZ$20,19,0)</f>
        <v>0.0909090909090909</v>
      </c>
      <c r="AK16" s="6" t="n">
        <f aca="false">VLOOKUP($F16,Category!$A$2:$AZ$20,21,0)</f>
        <v>0.818181818181818</v>
      </c>
      <c r="AL16" s="6" t="n">
        <f aca="false">1</f>
        <v>1</v>
      </c>
      <c r="AM16" s="6" t="n">
        <f aca="false">VLOOKUP($F16,Category!$A$2:$AZ$20,19,0)</f>
        <v>0.0909090909090909</v>
      </c>
      <c r="AN16" s="6" t="n">
        <f aca="false">VLOOKUP($F16,Category!$A$2:$AZ$20,21,0)</f>
        <v>0.818181818181818</v>
      </c>
      <c r="AO16" s="6" t="n">
        <f aca="false">VLOOKUP($E16,Role!$A$2:$O$9,10,0)</f>
        <v>1</v>
      </c>
      <c r="AP16" s="6" t="n">
        <f aca="false">VLOOKUP($F16,Category!$A$2:$AZ$20,9,0)</f>
        <v>0.111111111111111</v>
      </c>
      <c r="AQ16" s="6" t="n">
        <f aca="false">VLOOKUP($F16,Category!$A$2:$AZ$20,11,0)</f>
        <v>0.888888888888889</v>
      </c>
      <c r="AR16" s="6" t="n">
        <f aca="false">VLOOKUP($E16,Role!$A$2:$O$9,10,0)</f>
        <v>1</v>
      </c>
      <c r="AS16" s="6" t="n">
        <f aca="false">VLOOKUP($F16,Category!$A$2:$AZ$20,10,0)</f>
        <v>1</v>
      </c>
      <c r="AT16" s="7" t="n">
        <f aca="false">VLOOKUP($F16,Category!$A$2:$AZ$20,14,0)</f>
        <v>0.333333333333333</v>
      </c>
      <c r="AU16" s="7" t="n">
        <f aca="false">VLOOKUP($F16,Category!$A$2:$AZ$20,16,0)</f>
        <v>0.5</v>
      </c>
      <c r="AV16" s="7" t="n">
        <f aca="false">VLOOKUP($D16,Size!$A$2:$Z$13,17,0)</f>
        <v>3</v>
      </c>
      <c r="AW16" s="7" t="n">
        <f aca="false">VLOOKUP($F16,Category!$A$2:$AZ$20,29,0)</f>
        <v>0.333333333333333</v>
      </c>
      <c r="AX16" s="7" t="n">
        <f aca="false">VLOOKUP($F16,Category!$A$2:$AZ$20,31,0)</f>
        <v>0.555555555555556</v>
      </c>
      <c r="AY16" s="7" t="n">
        <f aca="false">VLOOKUP($D16,Size!$A$2:$Z$13,16,0)</f>
        <v>3</v>
      </c>
      <c r="AZ16" s="7" t="n">
        <f aca="false">VLOOKUP($E16,Role!$A$2:$O$9,11,0)</f>
        <v>0.5</v>
      </c>
      <c r="BB16" s="5" t="n">
        <f aca="false">VLOOKUP($D16,Size!$A$2:$Z$13,19,0)</f>
        <v>10</v>
      </c>
      <c r="BC16" s="5" t="n">
        <f aca="false">VLOOKUP($D16,Size!$A$2:$Z$13,20,0)</f>
        <v>1</v>
      </c>
      <c r="BD16" s="5" t="n">
        <f aca="false">VLOOKUP($E16,Role!$A$2:$O$9,13,0)</f>
        <v>0.75</v>
      </c>
      <c r="BE16" s="5" t="n">
        <f aca="false">VLOOKUP($C16,Type!$A$2:$B$4,2,0)</f>
        <v>1</v>
      </c>
    </row>
    <row r="17" customFormat="false" ht="12.8" hidden="false" customHeight="false" outlineLevel="0" collapsed="false">
      <c r="B17" s="2" t="n">
        <v>2</v>
      </c>
      <c r="C17" s="3" t="s">
        <v>51</v>
      </c>
      <c r="D17" s="1" t="s">
        <v>65</v>
      </c>
      <c r="E17" s="1" t="s">
        <v>66</v>
      </c>
      <c r="F17" s="1" t="s">
        <v>67</v>
      </c>
      <c r="G17" s="1" t="s">
        <v>55</v>
      </c>
      <c r="H17" s="4" t="n">
        <f aca="false">VLOOKUP($D17,Size!$A$2:$F$13,6,0)</f>
        <v>-3</v>
      </c>
      <c r="J17" s="12" t="n">
        <f aca="false">INT(($B17*$AY17*$AW17*$AZ17)+($B17*$AX17))</f>
        <v>1</v>
      </c>
      <c r="K17" s="4" t="n">
        <f aca="false">ROUND((($B17*$AT17)+($AV17*$AU17)),0)</f>
        <v>2</v>
      </c>
      <c r="L17" s="4" t="n">
        <f aca="false">ROUND((($B17*$AP17)+($B17*$AQ17))*$AR17,0)</f>
        <v>1</v>
      </c>
      <c r="M17" s="4" t="n">
        <f aca="false">ROUND((($B17*$AM17)+($B17*$AN17))*$AO17,0)</f>
        <v>1</v>
      </c>
      <c r="N17" s="4" t="n">
        <f aca="false">ROUND((($B17*$AG17)+($B17*$AH17))*$AI17,0)</f>
        <v>1</v>
      </c>
      <c r="O17" s="4" t="n">
        <f aca="false">ROUND((($B17*$AJ17)+($B17*$AK17))*$AL17,0)</f>
        <v>1</v>
      </c>
      <c r="Q17" s="4" t="n">
        <f aca="false">INT(VLOOKUP($E17,Role!$A$2:$O$9,8,0)*$B17)</f>
        <v>1</v>
      </c>
      <c r="R17" s="4" t="n">
        <f aca="false">INT(VLOOKUP($E17,Role!$A$2:$O$9,9,0)*$B17)</f>
        <v>1</v>
      </c>
      <c r="S17" s="4" t="n">
        <f aca="false">INT(VLOOKUP($E17,Role!$A$2:$P$9,16,0)*$B17*$AS17)</f>
        <v>0</v>
      </c>
      <c r="T17" s="4" t="n">
        <f aca="false">INT(VLOOKUP($D17,Size!$A$2:$Z$13,18,0)*VLOOKUP($E17,Role!$A$2:$O$9,13,0)*$B17/2)</f>
        <v>2</v>
      </c>
      <c r="U17" s="4" t="n">
        <f aca="false">INT(($BB17*$BE17)+($J17*$BC17))</f>
        <v>6</v>
      </c>
      <c r="V17" s="4" t="n">
        <f aca="false">INT((10+$N17)*VLOOKUP($E17,Role!$A$2:$O$9,14,0))</f>
        <v>11</v>
      </c>
      <c r="W17" s="4" t="n">
        <f aca="false">INT($J17*VLOOKUP($E17,Role!$A$2:$O$9,12,0))</f>
        <v>0</v>
      </c>
      <c r="Y17" s="2" t="n">
        <f aca="false">ROUND(MAX($K17,$M17)+(MIN($K17,$M17)*VLOOKUP($E17,Role!$A$2:$O$9,14,0)),0)</f>
        <v>3</v>
      </c>
      <c r="Z17" s="2" t="n">
        <f aca="false">MAX(1,INT(((MIN($J17:$K17)+(MAX($J17:$K17)*$H17*VLOOKUP($E17,Role!$A$2:$O$9,15,0))))*VLOOKUP($G17,Movement!$A$2:$C$7,3,0)))</f>
        <v>1</v>
      </c>
      <c r="AB17" s="5" t="n">
        <f aca="false">INT(5+(($H17-1)/3))</f>
        <v>3</v>
      </c>
      <c r="AC17" s="5" t="n">
        <f aca="false">IF($AB17&lt;$J17,$J17-MAX($AB17,$B17),0)</f>
        <v>0</v>
      </c>
      <c r="AD17" s="5" t="n">
        <f aca="false">(5-ROUND(($H17-1)/3,0))</f>
        <v>6</v>
      </c>
      <c r="AE17" s="5" t="n">
        <f aca="false">IF($AD17&lt;$K17,$K17-MAX($AD17,$B17),0)</f>
        <v>0</v>
      </c>
      <c r="AG17" s="6" t="n">
        <f aca="false">VLOOKUP($F17,Category!$A$2:$AZ$20,24,0)</f>
        <v>0</v>
      </c>
      <c r="AH17" s="6" t="n">
        <f aca="false">VLOOKUP($F17,Category!$A$2:$AZ$20,26,0)</f>
        <v>0.333333333333333</v>
      </c>
      <c r="AI17" s="6" t="n">
        <f aca="false">VLOOKUP($E17,Role!$A$2:$O$9,10,0)</f>
        <v>0.75</v>
      </c>
      <c r="AJ17" s="6" t="n">
        <f aca="false">VLOOKUP($F17,Category!$A$2:$AZ$20,19,0)</f>
        <v>0.0909090909090909</v>
      </c>
      <c r="AK17" s="6" t="n">
        <f aca="false">VLOOKUP($F17,Category!$A$2:$AZ$20,21,0)</f>
        <v>0.545454545454545</v>
      </c>
      <c r="AL17" s="6" t="n">
        <f aca="false">1</f>
        <v>1</v>
      </c>
      <c r="AM17" s="6" t="n">
        <f aca="false">VLOOKUP($F17,Category!$A$2:$AZ$20,19,0)</f>
        <v>0.0909090909090909</v>
      </c>
      <c r="AN17" s="6" t="n">
        <f aca="false">VLOOKUP($F17,Category!$A$2:$AZ$20,21,0)</f>
        <v>0.545454545454545</v>
      </c>
      <c r="AO17" s="6" t="n">
        <f aca="false">VLOOKUP($E17,Role!$A$2:$O$9,10,0)</f>
        <v>0.75</v>
      </c>
      <c r="AP17" s="6" t="n">
        <f aca="false">VLOOKUP($F17,Category!$A$2:$AZ$20,9,0)</f>
        <v>0</v>
      </c>
      <c r="AQ17" s="6" t="n">
        <f aca="false">VLOOKUP($F17,Category!$A$2:$AZ$20,11,0)</f>
        <v>0.555555555555556</v>
      </c>
      <c r="AR17" s="6" t="n">
        <f aca="false">VLOOKUP($E17,Role!$A$2:$O$9,10,0)</f>
        <v>0.75</v>
      </c>
      <c r="AS17" s="6" t="n">
        <f aca="false">VLOOKUP($F17,Category!$A$2:$AZ$20,10,0)</f>
        <v>0.555555555555556</v>
      </c>
      <c r="AT17" s="7" t="n">
        <f aca="false">VLOOKUP($F17,Category!$A$2:$AZ$20,14,0)</f>
        <v>0.416666666666667</v>
      </c>
      <c r="AU17" s="7" t="n">
        <f aca="false">VLOOKUP($F17,Category!$A$2:$AZ$20,16,0)</f>
        <v>0.25</v>
      </c>
      <c r="AV17" s="7" t="n">
        <f aca="false">VLOOKUP($D17,Size!$A$2:$Z$13,17,0)</f>
        <v>4</v>
      </c>
      <c r="AW17" s="7" t="n">
        <f aca="false">VLOOKUP($F17,Category!$A$2:$AZ$20,29,0)</f>
        <v>0.333333333333333</v>
      </c>
      <c r="AX17" s="7" t="n">
        <f aca="false">VLOOKUP($F17,Category!$A$2:$AZ$20,31,0)</f>
        <v>0.333333333333333</v>
      </c>
      <c r="AY17" s="7" t="n">
        <f aca="false">VLOOKUP($D17,Size!$A$2:$Z$13,16,0)</f>
        <v>1</v>
      </c>
      <c r="AZ17" s="7" t="n">
        <f aca="false">VLOOKUP($E17,Role!$A$2:$O$9,11,0)</f>
        <v>0.75</v>
      </c>
      <c r="BB17" s="5" t="n">
        <f aca="false">VLOOKUP($D17,Size!$A$2:$Z$13,19,0)</f>
        <v>6</v>
      </c>
      <c r="BC17" s="5" t="n">
        <f aca="false">VLOOKUP($D17,Size!$A$2:$Z$13,20,0)</f>
        <v>0.33</v>
      </c>
      <c r="BD17" s="5" t="n">
        <f aca="false">VLOOKUP($E17,Role!$A$2:$O$9,13,0)</f>
        <v>0.75</v>
      </c>
      <c r="BE17" s="5" t="n">
        <f aca="false">VLOOKUP($C17,Type!$A$2:$B$4,2,0)</f>
        <v>1</v>
      </c>
    </row>
    <row r="18" customFormat="false" ht="12.8" hidden="false" customHeight="false" outlineLevel="0" collapsed="false">
      <c r="B18" s="2" t="n">
        <v>2</v>
      </c>
      <c r="C18" s="3" t="s">
        <v>51</v>
      </c>
      <c r="D18" s="1" t="s">
        <v>68</v>
      </c>
      <c r="E18" s="1" t="s">
        <v>66</v>
      </c>
      <c r="F18" s="1" t="s">
        <v>67</v>
      </c>
      <c r="G18" s="1" t="s">
        <v>55</v>
      </c>
      <c r="H18" s="4" t="n">
        <f aca="false">VLOOKUP($D18,Size!$A$2:$F$13,6,0)</f>
        <v>-2</v>
      </c>
      <c r="J18" s="12" t="n">
        <f aca="false">INT(($B18*$AY18*$AW18*$AZ18)+($B18*$AX18))</f>
        <v>1</v>
      </c>
      <c r="K18" s="4" t="n">
        <f aca="false">ROUND((($B18*$AT18)+($AV18*$AU18)),0)</f>
        <v>2</v>
      </c>
      <c r="L18" s="4" t="n">
        <f aca="false">ROUND((($B18*$AP18)+($B18*$AQ18))*$AR18,0)</f>
        <v>1</v>
      </c>
      <c r="M18" s="4" t="n">
        <f aca="false">ROUND((($B18*$AM18)+($B18*$AN18))*$AO18,0)</f>
        <v>1</v>
      </c>
      <c r="N18" s="4" t="n">
        <f aca="false">ROUND((($B18*$AG18)+($B18*$AH18))*$AI18,0)</f>
        <v>1</v>
      </c>
      <c r="O18" s="4" t="n">
        <f aca="false">ROUND((($B18*$AJ18)+($B18*$AK18))*$AL18,0)</f>
        <v>1</v>
      </c>
      <c r="Q18" s="4" t="n">
        <f aca="false">INT(VLOOKUP($E18,Role!$A$2:$O$9,8,0)*$B18)</f>
        <v>1</v>
      </c>
      <c r="R18" s="4" t="n">
        <f aca="false">INT(VLOOKUP($E18,Role!$A$2:$O$9,9,0)*$B18)</f>
        <v>1</v>
      </c>
      <c r="S18" s="4" t="n">
        <f aca="false">INT(VLOOKUP($E18,Role!$A$2:$P$9,16,0)*$B18*$AS18)</f>
        <v>0</v>
      </c>
      <c r="T18" s="4" t="n">
        <f aca="false">INT(VLOOKUP($D18,Size!$A$2:$Z$13,18,0)*VLOOKUP($E18,Role!$A$2:$O$9,13,0)*$B18/2)</f>
        <v>4</v>
      </c>
      <c r="U18" s="4" t="n">
        <f aca="false">INT(($BB18*$BE18)+($J18*$BC18))</f>
        <v>7</v>
      </c>
      <c r="V18" s="4" t="n">
        <f aca="false">INT((10+$N18)*VLOOKUP($E18,Role!$A$2:$O$9,14,0))</f>
        <v>11</v>
      </c>
      <c r="W18" s="4" t="n">
        <f aca="false">INT($J18*VLOOKUP($E18,Role!$A$2:$O$9,12,0))</f>
        <v>0</v>
      </c>
      <c r="Y18" s="2" t="n">
        <f aca="false">ROUND(MAX($K18,$M18)+(MIN($K18,$M18)*VLOOKUP($E18,Role!$A$2:$O$9,14,0)),0)</f>
        <v>3</v>
      </c>
      <c r="Z18" s="2" t="n">
        <f aca="false">MAX(1,INT(((MIN($J18:$K18)+(MAX($J18:$K18)*$H18*VLOOKUP($E18,Role!$A$2:$O$9,15,0))))*VLOOKUP($G18,Movement!$A$2:$C$7,3,0)))</f>
        <v>1</v>
      </c>
      <c r="AB18" s="5" t="n">
        <f aca="false">INT(5+(($H18-1)/3))</f>
        <v>4</v>
      </c>
      <c r="AC18" s="5" t="n">
        <f aca="false">IF($AB18&lt;$J18,$J18-MAX($AB18,$B18),0)</f>
        <v>0</v>
      </c>
      <c r="AD18" s="5" t="n">
        <f aca="false">(5-ROUND(($H18-1)/3,0))</f>
        <v>6</v>
      </c>
      <c r="AE18" s="5" t="n">
        <f aca="false">IF($AD18&lt;$K18,$K18-MAX($AD18,$B18),0)</f>
        <v>0</v>
      </c>
      <c r="AG18" s="6" t="n">
        <f aca="false">VLOOKUP($F18,Category!$A$2:$AZ$20,24,0)</f>
        <v>0</v>
      </c>
      <c r="AH18" s="6" t="n">
        <f aca="false">VLOOKUP($F18,Category!$A$2:$AZ$20,26,0)</f>
        <v>0.333333333333333</v>
      </c>
      <c r="AI18" s="6" t="n">
        <f aca="false">VLOOKUP($E18,Role!$A$2:$O$9,10,0)</f>
        <v>0.75</v>
      </c>
      <c r="AJ18" s="6" t="n">
        <f aca="false">VLOOKUP($F18,Category!$A$2:$AZ$20,19,0)</f>
        <v>0.0909090909090909</v>
      </c>
      <c r="AK18" s="6" t="n">
        <f aca="false">VLOOKUP($F18,Category!$A$2:$AZ$20,21,0)</f>
        <v>0.545454545454545</v>
      </c>
      <c r="AL18" s="6" t="n">
        <f aca="false">1</f>
        <v>1</v>
      </c>
      <c r="AM18" s="6" t="n">
        <f aca="false">VLOOKUP($F18,Category!$A$2:$AZ$20,19,0)</f>
        <v>0.0909090909090909</v>
      </c>
      <c r="AN18" s="6" t="n">
        <f aca="false">VLOOKUP($F18,Category!$A$2:$AZ$20,21,0)</f>
        <v>0.545454545454545</v>
      </c>
      <c r="AO18" s="6" t="n">
        <f aca="false">VLOOKUP($E18,Role!$A$2:$O$9,10,0)</f>
        <v>0.75</v>
      </c>
      <c r="AP18" s="6" t="n">
        <f aca="false">VLOOKUP($F18,Category!$A$2:$AZ$20,9,0)</f>
        <v>0</v>
      </c>
      <c r="AQ18" s="6" t="n">
        <f aca="false">VLOOKUP($F18,Category!$A$2:$AZ$20,11,0)</f>
        <v>0.555555555555556</v>
      </c>
      <c r="AR18" s="6" t="n">
        <f aca="false">VLOOKUP($E18,Role!$A$2:$O$9,10,0)</f>
        <v>0.75</v>
      </c>
      <c r="AS18" s="6" t="n">
        <f aca="false">VLOOKUP($F18,Category!$A$2:$AZ$20,10,0)</f>
        <v>0.555555555555556</v>
      </c>
      <c r="AT18" s="7" t="n">
        <f aca="false">VLOOKUP($F18,Category!$A$2:$AZ$20,14,0)</f>
        <v>0.416666666666667</v>
      </c>
      <c r="AU18" s="7" t="n">
        <f aca="false">VLOOKUP($F18,Category!$A$2:$AZ$20,16,0)</f>
        <v>0.25</v>
      </c>
      <c r="AV18" s="7" t="n">
        <f aca="false">VLOOKUP($D18,Size!$A$2:$Z$13,17,0)</f>
        <v>3</v>
      </c>
      <c r="AW18" s="7" t="n">
        <f aca="false">VLOOKUP($F18,Category!$A$2:$AZ$20,29,0)</f>
        <v>0.333333333333333</v>
      </c>
      <c r="AX18" s="7" t="n">
        <f aca="false">VLOOKUP($F18,Category!$A$2:$AZ$20,31,0)</f>
        <v>0.333333333333333</v>
      </c>
      <c r="AY18" s="7" t="n">
        <f aca="false">VLOOKUP($D18,Size!$A$2:$Z$13,16,0)</f>
        <v>2</v>
      </c>
      <c r="AZ18" s="7" t="n">
        <f aca="false">VLOOKUP($E18,Role!$A$2:$O$9,11,0)</f>
        <v>0.75</v>
      </c>
      <c r="BB18" s="5" t="n">
        <f aca="false">VLOOKUP($D18,Size!$A$2:$Z$13,19,0)</f>
        <v>7</v>
      </c>
      <c r="BC18" s="5" t="n">
        <f aca="false">VLOOKUP($D18,Size!$A$2:$Z$13,20,0)</f>
        <v>0.5</v>
      </c>
      <c r="BD18" s="5" t="n">
        <f aca="false">VLOOKUP($E18,Role!$A$2:$O$9,13,0)</f>
        <v>0.75</v>
      </c>
      <c r="BE18" s="5" t="n">
        <f aca="false">VLOOKUP($C18,Type!$A$2:$B$4,2,0)</f>
        <v>1</v>
      </c>
    </row>
    <row r="19" customFormat="false" ht="12.8" hidden="false" customHeight="false" outlineLevel="0" collapsed="false">
      <c r="B19" s="2" t="n">
        <v>2</v>
      </c>
      <c r="C19" s="3" t="s">
        <v>51</v>
      </c>
      <c r="D19" s="1" t="s">
        <v>69</v>
      </c>
      <c r="E19" s="1" t="s">
        <v>66</v>
      </c>
      <c r="F19" s="1" t="s">
        <v>67</v>
      </c>
      <c r="G19" s="1" t="s">
        <v>55</v>
      </c>
      <c r="H19" s="4" t="n">
        <f aca="false">VLOOKUP($D19,Size!$A$2:$F$13,6,0)</f>
        <v>-1</v>
      </c>
      <c r="J19" s="12" t="n">
        <f aca="false">INT(($B19*$AY19*$AW19*$AZ19)+($B19*$AX19))</f>
        <v>1</v>
      </c>
      <c r="K19" s="4" t="n">
        <f aca="false">ROUND((($B19*$AT19)+($AV19*$AU19)),0)</f>
        <v>2</v>
      </c>
      <c r="L19" s="4" t="n">
        <f aca="false">ROUND((($B19*$AP19)+($B19*$AQ19))*$AR19,0)</f>
        <v>1</v>
      </c>
      <c r="M19" s="4" t="n">
        <f aca="false">ROUND((($B19*$AM19)+($B19*$AN19))*$AO19,0)</f>
        <v>1</v>
      </c>
      <c r="N19" s="4" t="n">
        <f aca="false">ROUND((($B19*$AG19)+($B19*$AH19))*$AI19,0)</f>
        <v>1</v>
      </c>
      <c r="O19" s="4" t="n">
        <f aca="false">ROUND((($B19*$AJ19)+($B19*$AK19))*$AL19,0)</f>
        <v>1</v>
      </c>
      <c r="Q19" s="4" t="n">
        <f aca="false">INT(VLOOKUP($E19,Role!$A$2:$O$9,8,0)*$B19)</f>
        <v>1</v>
      </c>
      <c r="R19" s="4" t="n">
        <f aca="false">INT(VLOOKUP($E19,Role!$A$2:$O$9,9,0)*$B19)</f>
        <v>1</v>
      </c>
      <c r="S19" s="4" t="n">
        <f aca="false">INT(VLOOKUP($E19,Role!$A$2:$P$9,16,0)*$B19*$AS19)</f>
        <v>0</v>
      </c>
      <c r="T19" s="4" t="n">
        <f aca="false">INT(VLOOKUP($D19,Size!$A$2:$Z$13,18,0)*VLOOKUP($E19,Role!$A$2:$O$9,13,0)*$B19/2)</f>
        <v>6</v>
      </c>
      <c r="U19" s="4" t="n">
        <f aca="false">INT(($BB19*$BE19)+($J19*$BC19))</f>
        <v>8</v>
      </c>
      <c r="V19" s="4" t="n">
        <f aca="false">INT((10+$N19)*VLOOKUP($E19,Role!$A$2:$O$9,14,0))</f>
        <v>11</v>
      </c>
      <c r="W19" s="4" t="n">
        <f aca="false">INT($J19*VLOOKUP($E19,Role!$A$2:$O$9,12,0))</f>
        <v>0</v>
      </c>
      <c r="Y19" s="2" t="n">
        <f aca="false">ROUND(MAX($K19,$M19)+(MIN($K19,$M19)*VLOOKUP($E19,Role!$A$2:$O$9,14,0)),0)</f>
        <v>3</v>
      </c>
      <c r="Z19" s="2" t="n">
        <f aca="false">MAX(1,INT(((MIN($J19:$K19)+(MAX($J19:$K19)*$H19*VLOOKUP($E19,Role!$A$2:$O$9,15,0))))*VLOOKUP($G19,Movement!$A$2:$C$7,3,0)))</f>
        <v>1</v>
      </c>
      <c r="AB19" s="5" t="n">
        <f aca="false">INT(5+(($H19-1)/3))</f>
        <v>4</v>
      </c>
      <c r="AC19" s="5" t="n">
        <f aca="false">IF($AB19&lt;$J19,$J19-MAX($AB19,$B19),0)</f>
        <v>0</v>
      </c>
      <c r="AD19" s="5" t="n">
        <f aca="false">(5-ROUND(($H19-1)/3,0))</f>
        <v>6</v>
      </c>
      <c r="AE19" s="5" t="n">
        <f aca="false">IF($AD19&lt;$K19,$K19-MAX($AD19,$B19),0)</f>
        <v>0</v>
      </c>
      <c r="AG19" s="6" t="n">
        <f aca="false">VLOOKUP($F19,Category!$A$2:$AZ$20,24,0)</f>
        <v>0</v>
      </c>
      <c r="AH19" s="6" t="n">
        <f aca="false">VLOOKUP($F19,Category!$A$2:$AZ$20,26,0)</f>
        <v>0.333333333333333</v>
      </c>
      <c r="AI19" s="6" t="n">
        <f aca="false">VLOOKUP($E19,Role!$A$2:$O$9,10,0)</f>
        <v>0.75</v>
      </c>
      <c r="AJ19" s="6" t="n">
        <f aca="false">VLOOKUP($F19,Category!$A$2:$AZ$20,19,0)</f>
        <v>0.0909090909090909</v>
      </c>
      <c r="AK19" s="6" t="n">
        <f aca="false">VLOOKUP($F19,Category!$A$2:$AZ$20,21,0)</f>
        <v>0.545454545454545</v>
      </c>
      <c r="AL19" s="6" t="n">
        <f aca="false">1</f>
        <v>1</v>
      </c>
      <c r="AM19" s="6" t="n">
        <f aca="false">VLOOKUP($F19,Category!$A$2:$AZ$20,19,0)</f>
        <v>0.0909090909090909</v>
      </c>
      <c r="AN19" s="6" t="n">
        <f aca="false">VLOOKUP($F19,Category!$A$2:$AZ$20,21,0)</f>
        <v>0.545454545454545</v>
      </c>
      <c r="AO19" s="6" t="n">
        <f aca="false">VLOOKUP($E19,Role!$A$2:$O$9,10,0)</f>
        <v>0.75</v>
      </c>
      <c r="AP19" s="6" t="n">
        <f aca="false">VLOOKUP($F19,Category!$A$2:$AZ$20,9,0)</f>
        <v>0</v>
      </c>
      <c r="AQ19" s="6" t="n">
        <f aca="false">VLOOKUP($F19,Category!$A$2:$AZ$20,11,0)</f>
        <v>0.555555555555556</v>
      </c>
      <c r="AR19" s="6" t="n">
        <f aca="false">VLOOKUP($E19,Role!$A$2:$O$9,10,0)</f>
        <v>0.75</v>
      </c>
      <c r="AS19" s="6" t="n">
        <f aca="false">VLOOKUP($F19,Category!$A$2:$AZ$20,10,0)</f>
        <v>0.555555555555556</v>
      </c>
      <c r="AT19" s="7" t="n">
        <f aca="false">VLOOKUP($F19,Category!$A$2:$AZ$20,14,0)</f>
        <v>0.416666666666667</v>
      </c>
      <c r="AU19" s="7" t="n">
        <f aca="false">VLOOKUP($F19,Category!$A$2:$AZ$20,16,0)</f>
        <v>0.25</v>
      </c>
      <c r="AV19" s="7" t="n">
        <f aca="false">VLOOKUP($D19,Size!$A$2:$Z$13,17,0)</f>
        <v>3</v>
      </c>
      <c r="AW19" s="7" t="n">
        <f aca="false">VLOOKUP($F19,Category!$A$2:$AZ$20,29,0)</f>
        <v>0.333333333333333</v>
      </c>
      <c r="AX19" s="7" t="n">
        <f aca="false">VLOOKUP($F19,Category!$A$2:$AZ$20,31,0)</f>
        <v>0.333333333333333</v>
      </c>
      <c r="AY19" s="7" t="n">
        <f aca="false">VLOOKUP($D19,Size!$A$2:$Z$13,16,0)</f>
        <v>2</v>
      </c>
      <c r="AZ19" s="7" t="n">
        <f aca="false">VLOOKUP($E19,Role!$A$2:$O$9,11,0)</f>
        <v>0.75</v>
      </c>
      <c r="BB19" s="5" t="n">
        <f aca="false">VLOOKUP($D19,Size!$A$2:$Z$13,19,0)</f>
        <v>8</v>
      </c>
      <c r="BC19" s="5" t="n">
        <f aca="false">VLOOKUP($D19,Size!$A$2:$Z$13,20,0)</f>
        <v>0.66</v>
      </c>
      <c r="BD19" s="5" t="n">
        <f aca="false">VLOOKUP($E19,Role!$A$2:$O$9,13,0)</f>
        <v>0.75</v>
      </c>
      <c r="BE19" s="5" t="n">
        <f aca="false">VLOOKUP($C19,Type!$A$2:$B$4,2,0)</f>
        <v>1</v>
      </c>
    </row>
    <row r="20" customFormat="false" ht="12.8" hidden="false" customHeight="false" outlineLevel="0" collapsed="false">
      <c r="B20" s="2" t="n">
        <v>2</v>
      </c>
      <c r="C20" s="3" t="s">
        <v>51</v>
      </c>
      <c r="D20" s="1" t="s">
        <v>70</v>
      </c>
      <c r="E20" s="1" t="s">
        <v>66</v>
      </c>
      <c r="F20" s="1" t="s">
        <v>67</v>
      </c>
      <c r="G20" s="1" t="s">
        <v>55</v>
      </c>
      <c r="H20" s="4" t="n">
        <f aca="false">VLOOKUP($D20,Size!$A$2:$F$13,6,0)</f>
        <v>0</v>
      </c>
      <c r="J20" s="12" t="n">
        <f aca="false">INT(($B20*$AY20*$AW20*$AZ20)+($B20*$AX20))</f>
        <v>1</v>
      </c>
      <c r="K20" s="4" t="n">
        <f aca="false">ROUND((($B20*$AT20)+($AV20*$AU20)),0)</f>
        <v>2</v>
      </c>
      <c r="L20" s="4" t="n">
        <f aca="false">ROUND((($B20*$AP20)+($B20*$AQ20))*$AR20,0)</f>
        <v>1</v>
      </c>
      <c r="M20" s="4" t="n">
        <f aca="false">ROUND((($B20*$AM20)+($B20*$AN20))*$AO20,0)</f>
        <v>1</v>
      </c>
      <c r="N20" s="4" t="n">
        <f aca="false">ROUND((($B20*$AG20)+($B20*$AH20))*$AI20,0)</f>
        <v>1</v>
      </c>
      <c r="O20" s="4" t="n">
        <f aca="false">ROUND((($B20*$AJ20)+($B20*$AK20))*$AL20,0)</f>
        <v>1</v>
      </c>
      <c r="Q20" s="4" t="n">
        <f aca="false">INT(VLOOKUP($E20,Role!$A$2:$O$9,8,0)*$B20)</f>
        <v>1</v>
      </c>
      <c r="R20" s="4" t="n">
        <f aca="false">INT(VLOOKUP($E20,Role!$A$2:$O$9,9,0)*$B20)</f>
        <v>1</v>
      </c>
      <c r="S20" s="4" t="n">
        <f aca="false">INT(VLOOKUP($E20,Role!$A$2:$P$9,16,0)*$B20*$AS20)</f>
        <v>0</v>
      </c>
      <c r="T20" s="4" t="n">
        <f aca="false">INT(VLOOKUP($D20,Size!$A$2:$Z$13,18,0)*VLOOKUP($E20,Role!$A$2:$O$9,13,0)*$B20/2)</f>
        <v>7</v>
      </c>
      <c r="U20" s="4" t="n">
        <f aca="false">INT(($BB20*$BE20)+($J20*$BC20))</f>
        <v>9</v>
      </c>
      <c r="V20" s="4" t="n">
        <f aca="false">INT((10+$N20)*VLOOKUP($E20,Role!$A$2:$O$9,14,0))</f>
        <v>11</v>
      </c>
      <c r="W20" s="4" t="n">
        <f aca="false">INT($J20*VLOOKUP($E20,Role!$A$2:$O$9,12,0))</f>
        <v>0</v>
      </c>
      <c r="Y20" s="2" t="n">
        <f aca="false">ROUND(MAX($K20,$M20)+(MIN($K20,$M20)*VLOOKUP($E20,Role!$A$2:$O$9,14,0)),0)</f>
        <v>3</v>
      </c>
      <c r="Z20" s="2" t="n">
        <f aca="false">MAX(1,INT(((MIN($J20:$K20)+(MAX($J20:$K20)*$H20*VLOOKUP($E20,Role!$A$2:$O$9,15,0))))*VLOOKUP($G20,Movement!$A$2:$C$7,3,0)))</f>
        <v>1</v>
      </c>
      <c r="AB20" s="5" t="n">
        <f aca="false">INT(5+(($H20-1)/3))</f>
        <v>4</v>
      </c>
      <c r="AC20" s="5" t="n">
        <f aca="false">IF($AB20&lt;$J20,$J20-MAX($AB20,$B20),0)</f>
        <v>0</v>
      </c>
      <c r="AD20" s="5" t="n">
        <f aca="false">(5-ROUND(($H20-1)/3,0))</f>
        <v>5</v>
      </c>
      <c r="AE20" s="5" t="n">
        <f aca="false">IF($AD20&lt;$K20,$K20-MAX($AD20,$B20),0)</f>
        <v>0</v>
      </c>
      <c r="AG20" s="6" t="n">
        <f aca="false">VLOOKUP($F20,Category!$A$2:$AZ$20,24,0)</f>
        <v>0</v>
      </c>
      <c r="AH20" s="6" t="n">
        <f aca="false">VLOOKUP($F20,Category!$A$2:$AZ$20,26,0)</f>
        <v>0.333333333333333</v>
      </c>
      <c r="AI20" s="6" t="n">
        <f aca="false">VLOOKUP($E20,Role!$A$2:$O$9,10,0)</f>
        <v>0.75</v>
      </c>
      <c r="AJ20" s="6" t="n">
        <f aca="false">VLOOKUP($F20,Category!$A$2:$AZ$20,19,0)</f>
        <v>0.0909090909090909</v>
      </c>
      <c r="AK20" s="6" t="n">
        <f aca="false">VLOOKUP($F20,Category!$A$2:$AZ$20,21,0)</f>
        <v>0.545454545454545</v>
      </c>
      <c r="AL20" s="6" t="n">
        <f aca="false">1</f>
        <v>1</v>
      </c>
      <c r="AM20" s="6" t="n">
        <f aca="false">VLOOKUP($F20,Category!$A$2:$AZ$20,19,0)</f>
        <v>0.0909090909090909</v>
      </c>
      <c r="AN20" s="6" t="n">
        <f aca="false">VLOOKUP($F20,Category!$A$2:$AZ$20,21,0)</f>
        <v>0.545454545454545</v>
      </c>
      <c r="AO20" s="6" t="n">
        <f aca="false">VLOOKUP($E20,Role!$A$2:$O$9,10,0)</f>
        <v>0.75</v>
      </c>
      <c r="AP20" s="6" t="n">
        <f aca="false">VLOOKUP($F20,Category!$A$2:$AZ$20,9,0)</f>
        <v>0</v>
      </c>
      <c r="AQ20" s="6" t="n">
        <f aca="false">VLOOKUP($F20,Category!$A$2:$AZ$20,11,0)</f>
        <v>0.555555555555556</v>
      </c>
      <c r="AR20" s="6" t="n">
        <f aca="false">VLOOKUP($E20,Role!$A$2:$O$9,10,0)</f>
        <v>0.75</v>
      </c>
      <c r="AS20" s="6" t="n">
        <f aca="false">VLOOKUP($F20,Category!$A$2:$AZ$20,10,0)</f>
        <v>0.555555555555556</v>
      </c>
      <c r="AT20" s="7" t="n">
        <f aca="false">VLOOKUP($F20,Category!$A$2:$AZ$20,14,0)</f>
        <v>0.416666666666667</v>
      </c>
      <c r="AU20" s="7" t="n">
        <f aca="false">VLOOKUP($F20,Category!$A$2:$AZ$20,16,0)</f>
        <v>0.25</v>
      </c>
      <c r="AV20" s="7" t="n">
        <f aca="false">VLOOKUP($D20,Size!$A$2:$Z$13,17,0)</f>
        <v>3</v>
      </c>
      <c r="AW20" s="7" t="n">
        <f aca="false">VLOOKUP($F20,Category!$A$2:$AZ$20,29,0)</f>
        <v>0.333333333333333</v>
      </c>
      <c r="AX20" s="7" t="n">
        <f aca="false">VLOOKUP($F20,Category!$A$2:$AZ$20,31,0)</f>
        <v>0.333333333333333</v>
      </c>
      <c r="AY20" s="7" t="n">
        <f aca="false">VLOOKUP($D20,Size!$A$2:$Z$13,16,0)</f>
        <v>2</v>
      </c>
      <c r="AZ20" s="7" t="n">
        <f aca="false">VLOOKUP($E20,Role!$A$2:$O$9,11,0)</f>
        <v>0.75</v>
      </c>
      <c r="BB20" s="5" t="n">
        <f aca="false">VLOOKUP($D20,Size!$A$2:$Z$13,19,0)</f>
        <v>9</v>
      </c>
      <c r="BC20" s="5" t="n">
        <f aca="false">VLOOKUP($D20,Size!$A$2:$Z$13,20,0)</f>
        <v>0.75</v>
      </c>
      <c r="BD20" s="5" t="n">
        <f aca="false">VLOOKUP($E20,Role!$A$2:$O$9,13,0)</f>
        <v>0.75</v>
      </c>
      <c r="BE20" s="5" t="n">
        <f aca="false">VLOOKUP($C20,Type!$A$2:$B$4,2,0)</f>
        <v>1</v>
      </c>
    </row>
    <row r="21" customFormat="false" ht="12.8" hidden="false" customHeight="false" outlineLevel="0" collapsed="false">
      <c r="B21" s="2" t="n">
        <v>2</v>
      </c>
      <c r="C21" s="3" t="s">
        <v>51</v>
      </c>
      <c r="D21" s="1" t="s">
        <v>52</v>
      </c>
      <c r="E21" s="1" t="s">
        <v>66</v>
      </c>
      <c r="F21" s="1" t="s">
        <v>67</v>
      </c>
      <c r="G21" s="1" t="s">
        <v>55</v>
      </c>
      <c r="H21" s="4" t="n">
        <f aca="false">VLOOKUP($D21,Size!$A$2:$F$13,6,0)</f>
        <v>1</v>
      </c>
      <c r="J21" s="12" t="n">
        <f aca="false">INT(($B21*$AY21*$AW21*$AZ21)+($B21*$AX21))</f>
        <v>2</v>
      </c>
      <c r="K21" s="4" t="n">
        <f aca="false">ROUND((($B21*$AT21)+($AV21*$AU21)),0)</f>
        <v>2</v>
      </c>
      <c r="L21" s="4" t="n">
        <f aca="false">ROUND((($B21*$AP21)+($B21*$AQ21))*$AR21,0)</f>
        <v>1</v>
      </c>
      <c r="M21" s="4" t="n">
        <f aca="false">ROUND((($B21*$AM21)+($B21*$AN21))*$AO21,0)</f>
        <v>1</v>
      </c>
      <c r="N21" s="4" t="n">
        <f aca="false">ROUND((($B21*$AG21)+($B21*$AH21))*$AI21,0)</f>
        <v>1</v>
      </c>
      <c r="O21" s="4" t="n">
        <f aca="false">ROUND((($B21*$AJ21)+($B21*$AK21))*$AL21,0)</f>
        <v>1</v>
      </c>
      <c r="Q21" s="4" t="n">
        <f aca="false">INT(VLOOKUP($E21,Role!$A$2:$O$9,8,0)*$B21)</f>
        <v>1</v>
      </c>
      <c r="R21" s="4" t="n">
        <f aca="false">INT(VLOOKUP($E21,Role!$A$2:$O$9,9,0)*$B21)</f>
        <v>1</v>
      </c>
      <c r="S21" s="4" t="n">
        <f aca="false">INT(VLOOKUP($E21,Role!$A$2:$P$9,16,0)*$B21*$AS21)</f>
        <v>0</v>
      </c>
      <c r="T21" s="4" t="n">
        <f aca="false">INT(VLOOKUP($D21,Size!$A$2:$Z$13,18,0)*VLOOKUP($E21,Role!$A$2:$O$9,13,0)*$B21/2)</f>
        <v>9</v>
      </c>
      <c r="U21" s="4" t="n">
        <f aca="false">INT(($BB21*$BE21)+($J21*$BC21))</f>
        <v>12</v>
      </c>
      <c r="V21" s="4" t="n">
        <f aca="false">INT((10+$N21)*VLOOKUP($E21,Role!$A$2:$O$9,14,0))</f>
        <v>11</v>
      </c>
      <c r="W21" s="4" t="n">
        <f aca="false">INT($J21*VLOOKUP($E21,Role!$A$2:$O$9,12,0))</f>
        <v>1</v>
      </c>
      <c r="Y21" s="2" t="n">
        <f aca="false">ROUND(MAX($K21,$M21)+(MIN($K21,$M21)*VLOOKUP($E21,Role!$A$2:$O$9,14,0)),0)</f>
        <v>3</v>
      </c>
      <c r="Z21" s="2" t="n">
        <f aca="false">MAX(1,INT(((MIN($J21:$K21)+(MAX($J21:$K21)*$H21*VLOOKUP($E21,Role!$A$2:$O$9,15,0))))*VLOOKUP($G21,Movement!$A$2:$C$7,3,0)))</f>
        <v>4</v>
      </c>
      <c r="AB21" s="5" t="n">
        <f aca="false">INT(5+(($H21-1)/3))</f>
        <v>5</v>
      </c>
      <c r="AC21" s="5" t="n">
        <f aca="false">IF($AB21&lt;$J21,$J21-MAX($AB21,$B21),0)</f>
        <v>0</v>
      </c>
      <c r="AD21" s="5" t="n">
        <f aca="false">(5-ROUND(($H21-1)/3,0))</f>
        <v>5</v>
      </c>
      <c r="AE21" s="5" t="n">
        <f aca="false">IF($AD21&lt;$K21,$K21-MAX($AD21,$B21),0)</f>
        <v>0</v>
      </c>
      <c r="AG21" s="6" t="n">
        <f aca="false">VLOOKUP($F21,Category!$A$2:$AZ$20,24,0)</f>
        <v>0</v>
      </c>
      <c r="AH21" s="6" t="n">
        <f aca="false">VLOOKUP($F21,Category!$A$2:$AZ$20,26,0)</f>
        <v>0.333333333333333</v>
      </c>
      <c r="AI21" s="6" t="n">
        <f aca="false">VLOOKUP($E21,Role!$A$2:$O$9,10,0)</f>
        <v>0.75</v>
      </c>
      <c r="AJ21" s="6" t="n">
        <f aca="false">VLOOKUP($F21,Category!$A$2:$AZ$20,19,0)</f>
        <v>0.0909090909090909</v>
      </c>
      <c r="AK21" s="6" t="n">
        <f aca="false">VLOOKUP($F21,Category!$A$2:$AZ$20,21,0)</f>
        <v>0.545454545454545</v>
      </c>
      <c r="AL21" s="6" t="n">
        <f aca="false">1</f>
        <v>1</v>
      </c>
      <c r="AM21" s="6" t="n">
        <f aca="false">VLOOKUP($F21,Category!$A$2:$AZ$20,19,0)</f>
        <v>0.0909090909090909</v>
      </c>
      <c r="AN21" s="6" t="n">
        <f aca="false">VLOOKUP($F21,Category!$A$2:$AZ$20,21,0)</f>
        <v>0.545454545454545</v>
      </c>
      <c r="AO21" s="6" t="n">
        <f aca="false">VLOOKUP($E21,Role!$A$2:$O$9,10,0)</f>
        <v>0.75</v>
      </c>
      <c r="AP21" s="6" t="n">
        <f aca="false">VLOOKUP($F21,Category!$A$2:$AZ$20,9,0)</f>
        <v>0</v>
      </c>
      <c r="AQ21" s="6" t="n">
        <f aca="false">VLOOKUP($F21,Category!$A$2:$AZ$20,11,0)</f>
        <v>0.555555555555556</v>
      </c>
      <c r="AR21" s="6" t="n">
        <f aca="false">VLOOKUP($E21,Role!$A$2:$O$9,10,0)</f>
        <v>0.75</v>
      </c>
      <c r="AS21" s="6" t="n">
        <f aca="false">VLOOKUP($F21,Category!$A$2:$AZ$20,10,0)</f>
        <v>0.555555555555556</v>
      </c>
      <c r="AT21" s="7" t="n">
        <f aca="false">VLOOKUP($F21,Category!$A$2:$AZ$20,14,0)</f>
        <v>0.416666666666667</v>
      </c>
      <c r="AU21" s="7" t="n">
        <f aca="false">VLOOKUP($F21,Category!$A$2:$AZ$20,16,0)</f>
        <v>0.25</v>
      </c>
      <c r="AV21" s="7" t="n">
        <f aca="false">VLOOKUP($D21,Size!$A$2:$Z$13,17,0)</f>
        <v>3</v>
      </c>
      <c r="AW21" s="7" t="n">
        <f aca="false">VLOOKUP($F21,Category!$A$2:$AZ$20,29,0)</f>
        <v>0.333333333333333</v>
      </c>
      <c r="AX21" s="7" t="n">
        <f aca="false">VLOOKUP($F21,Category!$A$2:$AZ$20,31,0)</f>
        <v>0.333333333333333</v>
      </c>
      <c r="AY21" s="7" t="n">
        <f aca="false">VLOOKUP($D21,Size!$A$2:$Z$13,16,0)</f>
        <v>3</v>
      </c>
      <c r="AZ21" s="7" t="n">
        <f aca="false">VLOOKUP($E21,Role!$A$2:$O$9,11,0)</f>
        <v>0.75</v>
      </c>
      <c r="BB21" s="5" t="n">
        <f aca="false">VLOOKUP($D21,Size!$A$2:$Z$13,19,0)</f>
        <v>10</v>
      </c>
      <c r="BC21" s="5" t="n">
        <f aca="false">VLOOKUP($D21,Size!$A$2:$Z$13,20,0)</f>
        <v>1</v>
      </c>
      <c r="BD21" s="5" t="n">
        <f aca="false">VLOOKUP($E21,Role!$A$2:$O$9,13,0)</f>
        <v>0.75</v>
      </c>
      <c r="BE21" s="5" t="n">
        <f aca="false">VLOOKUP($C21,Type!$A$2:$B$4,2,0)</f>
        <v>1</v>
      </c>
    </row>
    <row r="22" customFormat="false" ht="12.8" hidden="false" customHeight="false" outlineLevel="0" collapsed="false">
      <c r="B22" s="2" t="n">
        <v>2</v>
      </c>
      <c r="C22" s="3" t="s">
        <v>51</v>
      </c>
      <c r="D22" s="1" t="s">
        <v>71</v>
      </c>
      <c r="E22" s="1" t="s">
        <v>66</v>
      </c>
      <c r="F22" s="1" t="s">
        <v>67</v>
      </c>
      <c r="G22" s="1" t="s">
        <v>55</v>
      </c>
      <c r="H22" s="4" t="n">
        <f aca="false">VLOOKUP($D22,Size!$A$2:$F$13,6,0)</f>
        <v>2</v>
      </c>
      <c r="J22" s="12" t="n">
        <f aca="false">INT(($B22*$AY22*$AW22*$AZ22)+($B22*$AX22))</f>
        <v>2</v>
      </c>
      <c r="K22" s="4" t="n">
        <f aca="false">ROUND((($B22*$AT22)+($AV22*$AU22)),0)</f>
        <v>2</v>
      </c>
      <c r="L22" s="4" t="n">
        <f aca="false">ROUND((($B22*$AP22)+($B22*$AQ22))*$AR22,0)</f>
        <v>1</v>
      </c>
      <c r="M22" s="4" t="n">
        <f aca="false">ROUND((($B22*$AM22)+($B22*$AN22))*$AO22,0)</f>
        <v>1</v>
      </c>
      <c r="N22" s="4" t="n">
        <f aca="false">ROUND((($B22*$AG22)+($B22*$AH22))*$AI22,0)</f>
        <v>1</v>
      </c>
      <c r="O22" s="4" t="n">
        <f aca="false">ROUND((($B22*$AJ22)+($B22*$AK22))*$AL22,0)</f>
        <v>1</v>
      </c>
      <c r="Q22" s="4" t="n">
        <f aca="false">INT(VLOOKUP($E22,Role!$A$2:$O$9,8,0)*$B22)</f>
        <v>1</v>
      </c>
      <c r="R22" s="4" t="n">
        <f aca="false">INT(VLOOKUP($E22,Role!$A$2:$O$9,9,0)*$B22)</f>
        <v>1</v>
      </c>
      <c r="S22" s="4" t="n">
        <f aca="false">INT(VLOOKUP($E22,Role!$A$2:$P$9,16,0)*$B22*$AS22)</f>
        <v>0</v>
      </c>
      <c r="T22" s="4" t="n">
        <f aca="false">INT(VLOOKUP($D22,Size!$A$2:$Z$13,18,0)*VLOOKUP($E22,Role!$A$2:$O$9,13,0)*$B22/2)</f>
        <v>12</v>
      </c>
      <c r="U22" s="4" t="n">
        <f aca="false">INT(($BB22*$BE22)+($J22*$BC22))</f>
        <v>15</v>
      </c>
      <c r="V22" s="4" t="n">
        <f aca="false">INT((10+$N22)*VLOOKUP($E22,Role!$A$2:$O$9,14,0))</f>
        <v>11</v>
      </c>
      <c r="W22" s="4" t="n">
        <f aca="false">INT($J22*VLOOKUP($E22,Role!$A$2:$O$9,12,0))</f>
        <v>1</v>
      </c>
      <c r="Y22" s="2" t="n">
        <f aca="false">ROUND(MAX($K22,$M22)+(MIN($K22,$M22)*VLOOKUP($E22,Role!$A$2:$O$9,14,0)),0)</f>
        <v>3</v>
      </c>
      <c r="Z22" s="2" t="n">
        <f aca="false">MAX(1,INT(((MIN($J22:$K22)+(MAX($J22:$K22)*$H22*VLOOKUP($E22,Role!$A$2:$O$9,15,0))))*VLOOKUP($G22,Movement!$A$2:$C$7,3,0)))</f>
        <v>6</v>
      </c>
      <c r="AB22" s="5" t="n">
        <f aca="false">INT(5+(($H22-1)/3))</f>
        <v>5</v>
      </c>
      <c r="AC22" s="5" t="n">
        <f aca="false">IF($AB22&lt;$J22,$J22-MAX($AB22,$B22),0)</f>
        <v>0</v>
      </c>
      <c r="AD22" s="5" t="n">
        <f aca="false">(5-ROUND(($H22-1)/3,0))</f>
        <v>5</v>
      </c>
      <c r="AE22" s="5" t="n">
        <f aca="false">IF($AD22&lt;$K22,$K22-MAX($AD22,$B22),0)</f>
        <v>0</v>
      </c>
      <c r="AG22" s="6" t="n">
        <f aca="false">VLOOKUP($F22,Category!$A$2:$AZ$20,24,0)</f>
        <v>0</v>
      </c>
      <c r="AH22" s="6" t="n">
        <f aca="false">VLOOKUP($F22,Category!$A$2:$AZ$20,26,0)</f>
        <v>0.333333333333333</v>
      </c>
      <c r="AI22" s="6" t="n">
        <f aca="false">VLOOKUP($E22,Role!$A$2:$O$9,10,0)</f>
        <v>0.75</v>
      </c>
      <c r="AJ22" s="6" t="n">
        <f aca="false">VLOOKUP($F22,Category!$A$2:$AZ$20,19,0)</f>
        <v>0.0909090909090909</v>
      </c>
      <c r="AK22" s="6" t="n">
        <f aca="false">VLOOKUP($F22,Category!$A$2:$AZ$20,21,0)</f>
        <v>0.545454545454545</v>
      </c>
      <c r="AL22" s="6" t="n">
        <f aca="false">1</f>
        <v>1</v>
      </c>
      <c r="AM22" s="6" t="n">
        <f aca="false">VLOOKUP($F22,Category!$A$2:$AZ$20,19,0)</f>
        <v>0.0909090909090909</v>
      </c>
      <c r="AN22" s="6" t="n">
        <f aca="false">VLOOKUP($F22,Category!$A$2:$AZ$20,21,0)</f>
        <v>0.545454545454545</v>
      </c>
      <c r="AO22" s="6" t="n">
        <f aca="false">VLOOKUP($E22,Role!$A$2:$O$9,10,0)</f>
        <v>0.75</v>
      </c>
      <c r="AP22" s="6" t="n">
        <f aca="false">VLOOKUP($F22,Category!$A$2:$AZ$20,9,0)</f>
        <v>0</v>
      </c>
      <c r="AQ22" s="6" t="n">
        <f aca="false">VLOOKUP($F22,Category!$A$2:$AZ$20,11,0)</f>
        <v>0.555555555555556</v>
      </c>
      <c r="AR22" s="6" t="n">
        <f aca="false">VLOOKUP($E22,Role!$A$2:$O$9,10,0)</f>
        <v>0.75</v>
      </c>
      <c r="AS22" s="6" t="n">
        <f aca="false">VLOOKUP($F22,Category!$A$2:$AZ$20,10,0)</f>
        <v>0.555555555555556</v>
      </c>
      <c r="AT22" s="7" t="n">
        <f aca="false">VLOOKUP($F22,Category!$A$2:$AZ$20,14,0)</f>
        <v>0.416666666666667</v>
      </c>
      <c r="AU22" s="7" t="n">
        <f aca="false">VLOOKUP($F22,Category!$A$2:$AZ$20,16,0)</f>
        <v>0.25</v>
      </c>
      <c r="AV22" s="7" t="n">
        <f aca="false">VLOOKUP($D22,Size!$A$2:$Z$13,17,0)</f>
        <v>3</v>
      </c>
      <c r="AW22" s="7" t="n">
        <f aca="false">VLOOKUP($F22,Category!$A$2:$AZ$20,29,0)</f>
        <v>0.333333333333333</v>
      </c>
      <c r="AX22" s="7" t="n">
        <f aca="false">VLOOKUP($F22,Category!$A$2:$AZ$20,31,0)</f>
        <v>0.333333333333333</v>
      </c>
      <c r="AY22" s="7" t="n">
        <f aca="false">VLOOKUP($D22,Size!$A$2:$Z$13,16,0)</f>
        <v>3</v>
      </c>
      <c r="AZ22" s="7" t="n">
        <f aca="false">VLOOKUP($E22,Role!$A$2:$O$9,11,0)</f>
        <v>0.75</v>
      </c>
      <c r="BB22" s="5" t="n">
        <f aca="false">VLOOKUP($D22,Size!$A$2:$Z$13,19,0)</f>
        <v>12</v>
      </c>
      <c r="BC22" s="5" t="n">
        <f aca="false">VLOOKUP($D22,Size!$A$2:$Z$13,20,0)</f>
        <v>1.5</v>
      </c>
      <c r="BD22" s="5" t="n">
        <f aca="false">VLOOKUP($E22,Role!$A$2:$O$9,13,0)</f>
        <v>0.75</v>
      </c>
      <c r="BE22" s="5" t="n">
        <f aca="false">VLOOKUP($C22,Type!$A$2:$B$4,2,0)</f>
        <v>1</v>
      </c>
    </row>
    <row r="23" customFormat="false" ht="12.8" hidden="false" customHeight="false" outlineLevel="0" collapsed="false">
      <c r="B23" s="2" t="n">
        <v>2</v>
      </c>
      <c r="C23" s="3" t="s">
        <v>51</v>
      </c>
      <c r="D23" s="1" t="s">
        <v>72</v>
      </c>
      <c r="E23" s="1" t="s">
        <v>66</v>
      </c>
      <c r="F23" s="1" t="s">
        <v>67</v>
      </c>
      <c r="G23" s="1" t="s">
        <v>55</v>
      </c>
      <c r="H23" s="4" t="n">
        <f aca="false">VLOOKUP($D23,Size!$A$2:$F$13,6,0)</f>
        <v>3</v>
      </c>
      <c r="J23" s="12" t="n">
        <f aca="false">INT(($B23*$AY23*$AW23*$AZ23)+($B23*$AX23))</f>
        <v>2</v>
      </c>
      <c r="K23" s="4" t="n">
        <f aca="false">ROUND((($B23*$AT23)+($AV23*$AU23)),0)</f>
        <v>1</v>
      </c>
      <c r="L23" s="4" t="n">
        <f aca="false">ROUND((($B23*$AP23)+($B23*$AQ23))*$AR23,0)</f>
        <v>1</v>
      </c>
      <c r="M23" s="4" t="n">
        <f aca="false">ROUND((($B23*$AM23)+($B23*$AN23))*$AO23,0)</f>
        <v>1</v>
      </c>
      <c r="N23" s="4" t="n">
        <f aca="false">ROUND((($B23*$AG23)+($B23*$AH23))*$AI23,0)</f>
        <v>1</v>
      </c>
      <c r="O23" s="4" t="n">
        <f aca="false">ROUND((($B23*$AJ23)+($B23*$AK23))*$AL23,0)</f>
        <v>1</v>
      </c>
      <c r="Q23" s="4" t="n">
        <f aca="false">INT(VLOOKUP($E23,Role!$A$2:$O$9,8,0)*$B23)</f>
        <v>1</v>
      </c>
      <c r="R23" s="4" t="n">
        <f aca="false">INT(VLOOKUP($E23,Role!$A$2:$O$9,9,0)*$B23)</f>
        <v>1</v>
      </c>
      <c r="S23" s="4" t="n">
        <f aca="false">INT(VLOOKUP($E23,Role!$A$2:$P$9,16,0)*$B23*$AS23)</f>
        <v>0</v>
      </c>
      <c r="T23" s="4" t="n">
        <f aca="false">INT(VLOOKUP($D23,Size!$A$2:$Z$13,18,0)*VLOOKUP($E23,Role!$A$2:$O$9,13,0)*$B23/2)</f>
        <v>16</v>
      </c>
      <c r="U23" s="4" t="n">
        <f aca="false">INT(($BB23*$BE23)+($J23*$BC23))</f>
        <v>18</v>
      </c>
      <c r="V23" s="4" t="n">
        <f aca="false">INT((10+$N23)*VLOOKUP($E23,Role!$A$2:$O$9,14,0))</f>
        <v>11</v>
      </c>
      <c r="W23" s="4" t="n">
        <f aca="false">INT($J23*VLOOKUP($E23,Role!$A$2:$O$9,12,0))</f>
        <v>1</v>
      </c>
      <c r="Y23" s="2" t="n">
        <f aca="false">ROUND(MAX($K23,$M23)+(MIN($K23,$M23)*VLOOKUP($E23,Role!$A$2:$O$9,14,0)),0)</f>
        <v>2</v>
      </c>
      <c r="Z23" s="2" t="n">
        <f aca="false">MAX(1,INT(((MIN($J23:$K23)+(MAX($J23:$K23)*$H23*VLOOKUP($E23,Role!$A$2:$O$9,15,0))))*VLOOKUP($G23,Movement!$A$2:$C$7,3,0)))</f>
        <v>7</v>
      </c>
      <c r="AB23" s="5" t="n">
        <f aca="false">INT(5+(($H23-1)/3))</f>
        <v>5</v>
      </c>
      <c r="AC23" s="5" t="n">
        <f aca="false">IF($AB23&lt;$J23,$J23-MAX($AB23,$B23),0)</f>
        <v>0</v>
      </c>
      <c r="AD23" s="5" t="n">
        <f aca="false">(5-ROUND(($H23-1)/3,0))</f>
        <v>4</v>
      </c>
      <c r="AE23" s="5" t="n">
        <f aca="false">IF($AD23&lt;$K23,$K23-MAX($AD23,$B23),0)</f>
        <v>0</v>
      </c>
      <c r="AG23" s="6" t="n">
        <f aca="false">VLOOKUP($F23,Category!$A$2:$AZ$20,24,0)</f>
        <v>0</v>
      </c>
      <c r="AH23" s="6" t="n">
        <f aca="false">VLOOKUP($F23,Category!$A$2:$AZ$20,26,0)</f>
        <v>0.333333333333333</v>
      </c>
      <c r="AI23" s="6" t="n">
        <f aca="false">VLOOKUP($E23,Role!$A$2:$O$9,10,0)</f>
        <v>0.75</v>
      </c>
      <c r="AJ23" s="6" t="n">
        <f aca="false">VLOOKUP($F23,Category!$A$2:$AZ$20,19,0)</f>
        <v>0.0909090909090909</v>
      </c>
      <c r="AK23" s="6" t="n">
        <f aca="false">VLOOKUP($F23,Category!$A$2:$AZ$20,21,0)</f>
        <v>0.545454545454545</v>
      </c>
      <c r="AL23" s="6" t="n">
        <f aca="false">1</f>
        <v>1</v>
      </c>
      <c r="AM23" s="6" t="n">
        <f aca="false">VLOOKUP($F23,Category!$A$2:$AZ$20,19,0)</f>
        <v>0.0909090909090909</v>
      </c>
      <c r="AN23" s="6" t="n">
        <f aca="false">VLOOKUP($F23,Category!$A$2:$AZ$20,21,0)</f>
        <v>0.545454545454545</v>
      </c>
      <c r="AO23" s="6" t="n">
        <f aca="false">VLOOKUP($E23,Role!$A$2:$O$9,10,0)</f>
        <v>0.75</v>
      </c>
      <c r="AP23" s="6" t="n">
        <f aca="false">VLOOKUP($F23,Category!$A$2:$AZ$20,9,0)</f>
        <v>0</v>
      </c>
      <c r="AQ23" s="6" t="n">
        <f aca="false">VLOOKUP($F23,Category!$A$2:$AZ$20,11,0)</f>
        <v>0.555555555555556</v>
      </c>
      <c r="AR23" s="6" t="n">
        <f aca="false">VLOOKUP($E23,Role!$A$2:$O$9,10,0)</f>
        <v>0.75</v>
      </c>
      <c r="AS23" s="6" t="n">
        <f aca="false">VLOOKUP($F23,Category!$A$2:$AZ$20,10,0)</f>
        <v>0.555555555555556</v>
      </c>
      <c r="AT23" s="7" t="n">
        <f aca="false">VLOOKUP($F23,Category!$A$2:$AZ$20,14,0)</f>
        <v>0.416666666666667</v>
      </c>
      <c r="AU23" s="7" t="n">
        <f aca="false">VLOOKUP($F23,Category!$A$2:$AZ$20,16,0)</f>
        <v>0.25</v>
      </c>
      <c r="AV23" s="7" t="n">
        <f aca="false">VLOOKUP($D23,Size!$A$2:$Z$13,17,0)</f>
        <v>2</v>
      </c>
      <c r="AW23" s="7" t="n">
        <f aca="false">VLOOKUP($F23,Category!$A$2:$AZ$20,29,0)</f>
        <v>0.333333333333333</v>
      </c>
      <c r="AX23" s="7" t="n">
        <f aca="false">VLOOKUP($F23,Category!$A$2:$AZ$20,31,0)</f>
        <v>0.333333333333333</v>
      </c>
      <c r="AY23" s="7" t="n">
        <f aca="false">VLOOKUP($D23,Size!$A$2:$Z$13,16,0)</f>
        <v>4</v>
      </c>
      <c r="AZ23" s="7" t="n">
        <f aca="false">VLOOKUP($E23,Role!$A$2:$O$9,11,0)</f>
        <v>0.75</v>
      </c>
      <c r="BB23" s="5" t="n">
        <f aca="false">VLOOKUP($D23,Size!$A$2:$Z$13,19,0)</f>
        <v>14</v>
      </c>
      <c r="BC23" s="5" t="n">
        <f aca="false">VLOOKUP($D23,Size!$A$2:$Z$13,20,0)</f>
        <v>2</v>
      </c>
      <c r="BD23" s="5" t="n">
        <f aca="false">VLOOKUP($E23,Role!$A$2:$O$9,13,0)</f>
        <v>0.75</v>
      </c>
      <c r="BE23" s="5" t="n">
        <f aca="false">VLOOKUP($C23,Type!$A$2:$B$4,2,0)</f>
        <v>1</v>
      </c>
    </row>
    <row r="24" customFormat="false" ht="12.8" hidden="false" customHeight="false" outlineLevel="0" collapsed="false">
      <c r="B24" s="2" t="n">
        <v>2</v>
      </c>
      <c r="C24" s="3" t="s">
        <v>51</v>
      </c>
      <c r="D24" s="1" t="s">
        <v>73</v>
      </c>
      <c r="E24" s="1" t="s">
        <v>66</v>
      </c>
      <c r="F24" s="1" t="s">
        <v>67</v>
      </c>
      <c r="G24" s="1" t="s">
        <v>55</v>
      </c>
      <c r="H24" s="4" t="n">
        <f aca="false">VLOOKUP($D24,Size!$A$2:$F$13,6,0)</f>
        <v>4</v>
      </c>
      <c r="J24" s="12" t="n">
        <f aca="false">INT(($B24*$AY24*$AW24*$AZ24)+($B24*$AX24))</f>
        <v>2</v>
      </c>
      <c r="K24" s="4" t="n">
        <f aca="false">ROUND((($B24*$AT24)+($AV24*$AU24)),0)</f>
        <v>1</v>
      </c>
      <c r="L24" s="4" t="n">
        <f aca="false">ROUND((($B24*$AP24)+($B24*$AQ24))*$AR24,0)</f>
        <v>1</v>
      </c>
      <c r="M24" s="4" t="n">
        <f aca="false">ROUND((($B24*$AM24)+($B24*$AN24))*$AO24,0)</f>
        <v>1</v>
      </c>
      <c r="N24" s="4" t="n">
        <f aca="false">ROUND((($B24*$AG24)+($B24*$AH24))*$AI24,0)</f>
        <v>1</v>
      </c>
      <c r="O24" s="4" t="n">
        <f aca="false">ROUND((($B24*$AJ24)+($B24*$AK24))*$AL24,0)</f>
        <v>1</v>
      </c>
      <c r="Q24" s="4" t="n">
        <f aca="false">INT(VLOOKUP($E24,Role!$A$2:$O$9,8,0)*$B24)</f>
        <v>1</v>
      </c>
      <c r="R24" s="4" t="n">
        <f aca="false">INT(VLOOKUP($E24,Role!$A$2:$O$9,9,0)*$B24)</f>
        <v>1</v>
      </c>
      <c r="S24" s="4" t="n">
        <f aca="false">INT(VLOOKUP($E24,Role!$A$2:$P$9,16,0)*$B24*$AS24)</f>
        <v>0</v>
      </c>
      <c r="T24" s="4" t="n">
        <f aca="false">INT(VLOOKUP($D24,Size!$A$2:$Z$13,18,0)*VLOOKUP($E24,Role!$A$2:$O$9,13,0)*$B24/2)</f>
        <v>18</v>
      </c>
      <c r="U24" s="4" t="n">
        <f aca="false">INT(($BB24*$BE24)+($J24*$BC24))</f>
        <v>22</v>
      </c>
      <c r="V24" s="4" t="n">
        <f aca="false">INT((10+$N24)*VLOOKUP($E24,Role!$A$2:$O$9,14,0))</f>
        <v>11</v>
      </c>
      <c r="W24" s="4" t="n">
        <f aca="false">INT($J24*VLOOKUP($E24,Role!$A$2:$O$9,12,0))</f>
        <v>1</v>
      </c>
      <c r="Y24" s="2" t="n">
        <f aca="false">ROUND(MAX($K24,$M24)+(MIN($K24,$M24)*VLOOKUP($E24,Role!$A$2:$O$9,14,0)),0)</f>
        <v>2</v>
      </c>
      <c r="Z24" s="2" t="n">
        <f aca="false">MAX(1,INT(((MIN($J24:$K24)+(MAX($J24:$K24)*$H24*VLOOKUP($E24,Role!$A$2:$O$9,15,0))))*VLOOKUP($G24,Movement!$A$2:$C$7,3,0)))</f>
        <v>9</v>
      </c>
      <c r="AB24" s="5" t="n">
        <f aca="false">INT(5+(($H24-1)/3))</f>
        <v>6</v>
      </c>
      <c r="AC24" s="5" t="n">
        <f aca="false">IF($AB24&lt;$J24,$J24-MAX($AB24,$B24),0)</f>
        <v>0</v>
      </c>
      <c r="AD24" s="5" t="n">
        <f aca="false">(5-ROUND(($H24-1)/3,0))</f>
        <v>4</v>
      </c>
      <c r="AE24" s="5" t="n">
        <f aca="false">IF($AD24&lt;$K24,$K24-MAX($AD24,$B24),0)</f>
        <v>0</v>
      </c>
      <c r="AG24" s="6" t="n">
        <f aca="false">VLOOKUP($F24,Category!$A$2:$AZ$20,24,0)</f>
        <v>0</v>
      </c>
      <c r="AH24" s="6" t="n">
        <f aca="false">VLOOKUP($F24,Category!$A$2:$AZ$20,26,0)</f>
        <v>0.333333333333333</v>
      </c>
      <c r="AI24" s="6" t="n">
        <f aca="false">VLOOKUP($E24,Role!$A$2:$O$9,10,0)</f>
        <v>0.75</v>
      </c>
      <c r="AJ24" s="6" t="n">
        <f aca="false">VLOOKUP($F24,Category!$A$2:$AZ$20,19,0)</f>
        <v>0.0909090909090909</v>
      </c>
      <c r="AK24" s="6" t="n">
        <f aca="false">VLOOKUP($F24,Category!$A$2:$AZ$20,21,0)</f>
        <v>0.545454545454545</v>
      </c>
      <c r="AL24" s="6" t="n">
        <f aca="false">1</f>
        <v>1</v>
      </c>
      <c r="AM24" s="6" t="n">
        <f aca="false">VLOOKUP($F24,Category!$A$2:$AZ$20,19,0)</f>
        <v>0.0909090909090909</v>
      </c>
      <c r="AN24" s="6" t="n">
        <f aca="false">VLOOKUP($F24,Category!$A$2:$AZ$20,21,0)</f>
        <v>0.545454545454545</v>
      </c>
      <c r="AO24" s="6" t="n">
        <f aca="false">VLOOKUP($E24,Role!$A$2:$O$9,10,0)</f>
        <v>0.75</v>
      </c>
      <c r="AP24" s="6" t="n">
        <f aca="false">VLOOKUP($F24,Category!$A$2:$AZ$20,9,0)</f>
        <v>0</v>
      </c>
      <c r="AQ24" s="6" t="n">
        <f aca="false">VLOOKUP($F24,Category!$A$2:$AZ$20,11,0)</f>
        <v>0.555555555555556</v>
      </c>
      <c r="AR24" s="6" t="n">
        <f aca="false">VLOOKUP($E24,Role!$A$2:$O$9,10,0)</f>
        <v>0.75</v>
      </c>
      <c r="AS24" s="6" t="n">
        <f aca="false">VLOOKUP($F24,Category!$A$2:$AZ$20,10,0)</f>
        <v>0.555555555555556</v>
      </c>
      <c r="AT24" s="7" t="n">
        <f aca="false">VLOOKUP($F24,Category!$A$2:$AZ$20,14,0)</f>
        <v>0.416666666666667</v>
      </c>
      <c r="AU24" s="7" t="n">
        <f aca="false">VLOOKUP($F24,Category!$A$2:$AZ$20,16,0)</f>
        <v>0.25</v>
      </c>
      <c r="AV24" s="7" t="n">
        <f aca="false">VLOOKUP($D24,Size!$A$2:$Z$13,17,0)</f>
        <v>2</v>
      </c>
      <c r="AW24" s="7" t="n">
        <f aca="false">VLOOKUP($F24,Category!$A$2:$AZ$20,29,0)</f>
        <v>0.333333333333333</v>
      </c>
      <c r="AX24" s="7" t="n">
        <f aca="false">VLOOKUP($F24,Category!$A$2:$AZ$20,31,0)</f>
        <v>0.333333333333333</v>
      </c>
      <c r="AY24" s="7" t="n">
        <f aca="false">VLOOKUP($D24,Size!$A$2:$Z$13,16,0)</f>
        <v>4</v>
      </c>
      <c r="AZ24" s="7" t="n">
        <f aca="false">VLOOKUP($E24,Role!$A$2:$O$9,11,0)</f>
        <v>0.75</v>
      </c>
      <c r="BB24" s="5" t="n">
        <f aca="false">VLOOKUP($D24,Size!$A$2:$Z$13,19,0)</f>
        <v>16</v>
      </c>
      <c r="BC24" s="5" t="n">
        <f aca="false">VLOOKUP($D24,Size!$A$2:$Z$13,20,0)</f>
        <v>3</v>
      </c>
      <c r="BD24" s="5" t="n">
        <f aca="false">VLOOKUP($E24,Role!$A$2:$O$9,13,0)</f>
        <v>0.75</v>
      </c>
      <c r="BE24" s="5" t="n">
        <f aca="false">VLOOKUP($C24,Type!$A$2:$B$4,2,0)</f>
        <v>1</v>
      </c>
    </row>
    <row r="25" customFormat="false" ht="12.8" hidden="false" customHeight="false" outlineLevel="0" collapsed="false">
      <c r="B25" s="2" t="n">
        <v>2</v>
      </c>
      <c r="C25" s="3" t="s">
        <v>51</v>
      </c>
      <c r="D25" s="1" t="s">
        <v>74</v>
      </c>
      <c r="E25" s="1" t="s">
        <v>66</v>
      </c>
      <c r="F25" s="1" t="s">
        <v>67</v>
      </c>
      <c r="G25" s="1" t="s">
        <v>55</v>
      </c>
      <c r="H25" s="4" t="n">
        <f aca="false">VLOOKUP($D25,Size!$A$2:$F$13,6,0)</f>
        <v>5</v>
      </c>
      <c r="J25" s="12" t="n">
        <f aca="false">INT(($B25*$AY25*$AW25*$AZ25)+($B25*$AX25))</f>
        <v>3</v>
      </c>
      <c r="K25" s="4" t="n">
        <f aca="false">ROUND((($B25*$AT25)+($AV25*$AU25)),0)</f>
        <v>1</v>
      </c>
      <c r="L25" s="4" t="n">
        <f aca="false">ROUND((($B25*$AP25)+($B25*$AQ25))*$AR25,0)</f>
        <v>1</v>
      </c>
      <c r="M25" s="4" t="n">
        <f aca="false">ROUND((($B25*$AM25)+($B25*$AN25))*$AO25,0)</f>
        <v>1</v>
      </c>
      <c r="N25" s="4" t="n">
        <f aca="false">ROUND((($B25*$AG25)+($B25*$AH25))*$AI25,0)</f>
        <v>1</v>
      </c>
      <c r="O25" s="4" t="n">
        <f aca="false">ROUND((($B25*$AJ25)+($B25*$AK25))*$AL25,0)</f>
        <v>1</v>
      </c>
      <c r="Q25" s="4" t="n">
        <f aca="false">INT(VLOOKUP($E25,Role!$A$2:$O$9,8,0)*$B25)</f>
        <v>1</v>
      </c>
      <c r="R25" s="4" t="n">
        <f aca="false">INT(VLOOKUP($E25,Role!$A$2:$O$9,9,0)*$B25)</f>
        <v>1</v>
      </c>
      <c r="S25" s="4" t="n">
        <f aca="false">INT(VLOOKUP($E25,Role!$A$2:$P$9,16,0)*$B25*$AS25)</f>
        <v>0</v>
      </c>
      <c r="T25" s="4" t="n">
        <f aca="false">INT(VLOOKUP($D25,Size!$A$2:$Z$13,18,0)*VLOOKUP($E25,Role!$A$2:$O$9,13,0)*$B25/2)</f>
        <v>23</v>
      </c>
      <c r="U25" s="4" t="n">
        <f aca="false">INT(($BB25*$BE25)+($J25*$BC25))</f>
        <v>30</v>
      </c>
      <c r="V25" s="4" t="n">
        <f aca="false">INT((10+$N25)*VLOOKUP($E25,Role!$A$2:$O$9,14,0))</f>
        <v>11</v>
      </c>
      <c r="W25" s="4" t="n">
        <f aca="false">INT($J25*VLOOKUP($E25,Role!$A$2:$O$9,12,0))</f>
        <v>2</v>
      </c>
      <c r="Y25" s="2" t="n">
        <f aca="false">ROUND(MAX($K25,$M25)+(MIN($K25,$M25)*VLOOKUP($E25,Role!$A$2:$O$9,14,0)),0)</f>
        <v>2</v>
      </c>
      <c r="Z25" s="2" t="n">
        <f aca="false">MAX(1,INT(((MIN($J25:$K25)+(MAX($J25:$K25)*$H25*VLOOKUP($E25,Role!$A$2:$O$9,15,0))))*VLOOKUP($G25,Movement!$A$2:$C$7,3,0)))</f>
        <v>16</v>
      </c>
      <c r="AB25" s="5" t="n">
        <f aca="false">INT(5+(($H25-1)/3))</f>
        <v>6</v>
      </c>
      <c r="AC25" s="5" t="n">
        <f aca="false">IF($AB25&lt;$J25,$J25-MAX($AB25,$B25),0)</f>
        <v>0</v>
      </c>
      <c r="AD25" s="5" t="n">
        <f aca="false">(5-ROUND(($H25-1)/3,0))</f>
        <v>4</v>
      </c>
      <c r="AE25" s="5" t="n">
        <f aca="false">IF($AD25&lt;$K25,$K25-MAX($AD25,$B25),0)</f>
        <v>0</v>
      </c>
      <c r="AG25" s="6" t="n">
        <f aca="false">VLOOKUP($F25,Category!$A$2:$AZ$20,24,0)</f>
        <v>0</v>
      </c>
      <c r="AH25" s="6" t="n">
        <f aca="false">VLOOKUP($F25,Category!$A$2:$AZ$20,26,0)</f>
        <v>0.333333333333333</v>
      </c>
      <c r="AI25" s="6" t="n">
        <f aca="false">VLOOKUP($E25,Role!$A$2:$O$9,10,0)</f>
        <v>0.75</v>
      </c>
      <c r="AJ25" s="6" t="n">
        <f aca="false">VLOOKUP($F25,Category!$A$2:$AZ$20,19,0)</f>
        <v>0.0909090909090909</v>
      </c>
      <c r="AK25" s="6" t="n">
        <f aca="false">VLOOKUP($F25,Category!$A$2:$AZ$20,21,0)</f>
        <v>0.545454545454545</v>
      </c>
      <c r="AL25" s="6" t="n">
        <f aca="false">1</f>
        <v>1</v>
      </c>
      <c r="AM25" s="6" t="n">
        <f aca="false">VLOOKUP($F25,Category!$A$2:$AZ$20,19,0)</f>
        <v>0.0909090909090909</v>
      </c>
      <c r="AN25" s="6" t="n">
        <f aca="false">VLOOKUP($F25,Category!$A$2:$AZ$20,21,0)</f>
        <v>0.545454545454545</v>
      </c>
      <c r="AO25" s="6" t="n">
        <f aca="false">VLOOKUP($E25,Role!$A$2:$O$9,10,0)</f>
        <v>0.75</v>
      </c>
      <c r="AP25" s="6" t="n">
        <f aca="false">VLOOKUP($F25,Category!$A$2:$AZ$20,9,0)</f>
        <v>0</v>
      </c>
      <c r="AQ25" s="6" t="n">
        <f aca="false">VLOOKUP($F25,Category!$A$2:$AZ$20,11,0)</f>
        <v>0.555555555555556</v>
      </c>
      <c r="AR25" s="6" t="n">
        <f aca="false">VLOOKUP($E25,Role!$A$2:$O$9,10,0)</f>
        <v>0.75</v>
      </c>
      <c r="AS25" s="6" t="n">
        <f aca="false">VLOOKUP($F25,Category!$A$2:$AZ$20,10,0)</f>
        <v>0.555555555555556</v>
      </c>
      <c r="AT25" s="7" t="n">
        <f aca="false">VLOOKUP($F25,Category!$A$2:$AZ$20,14,0)</f>
        <v>0.416666666666667</v>
      </c>
      <c r="AU25" s="7" t="n">
        <f aca="false">VLOOKUP($F25,Category!$A$2:$AZ$20,16,0)</f>
        <v>0.25</v>
      </c>
      <c r="AV25" s="7" t="n">
        <f aca="false">VLOOKUP($D25,Size!$A$2:$Z$13,17,0)</f>
        <v>2</v>
      </c>
      <c r="AW25" s="7" t="n">
        <f aca="false">VLOOKUP($F25,Category!$A$2:$AZ$20,29,0)</f>
        <v>0.333333333333333</v>
      </c>
      <c r="AX25" s="7" t="n">
        <f aca="false">VLOOKUP($F25,Category!$A$2:$AZ$20,31,0)</f>
        <v>0.333333333333333</v>
      </c>
      <c r="AY25" s="7" t="n">
        <f aca="false">VLOOKUP($D25,Size!$A$2:$Z$13,16,0)</f>
        <v>5</v>
      </c>
      <c r="AZ25" s="7" t="n">
        <f aca="false">VLOOKUP($E25,Role!$A$2:$O$9,11,0)</f>
        <v>0.75</v>
      </c>
      <c r="BB25" s="5" t="n">
        <f aca="false">VLOOKUP($D25,Size!$A$2:$Z$13,19,0)</f>
        <v>18</v>
      </c>
      <c r="BC25" s="5" t="n">
        <f aca="false">VLOOKUP($D25,Size!$A$2:$Z$13,20,0)</f>
        <v>4</v>
      </c>
      <c r="BD25" s="5" t="n">
        <f aca="false">VLOOKUP($E25,Role!$A$2:$O$9,13,0)</f>
        <v>0.75</v>
      </c>
      <c r="BE25" s="5" t="n">
        <f aca="false">VLOOKUP($C25,Type!$A$2:$B$4,2,0)</f>
        <v>1</v>
      </c>
    </row>
    <row r="26" customFormat="false" ht="12.8" hidden="false" customHeight="false" outlineLevel="0" collapsed="false">
      <c r="B26" s="2" t="n">
        <v>2</v>
      </c>
      <c r="C26" s="3" t="s">
        <v>51</v>
      </c>
      <c r="D26" s="1" t="s">
        <v>75</v>
      </c>
      <c r="E26" s="1" t="s">
        <v>66</v>
      </c>
      <c r="F26" s="1" t="s">
        <v>67</v>
      </c>
      <c r="G26" s="1" t="s">
        <v>55</v>
      </c>
      <c r="H26" s="4" t="n">
        <f aca="false">VLOOKUP($D26,Size!$A$2:$F$13,6,0)</f>
        <v>6</v>
      </c>
      <c r="J26" s="12" t="n">
        <f aca="false">INT(($B26*$AY26*$AW26*$AZ26)+($B26*$AX26))</f>
        <v>3</v>
      </c>
      <c r="K26" s="4" t="n">
        <f aca="false">ROUND((($B26*$AT26)+($AV26*$AU26)),0)</f>
        <v>1</v>
      </c>
      <c r="L26" s="4" t="n">
        <f aca="false">ROUND((($B26*$AP26)+($B26*$AQ26))*$AR26,0)</f>
        <v>1</v>
      </c>
      <c r="M26" s="4" t="n">
        <f aca="false">ROUND((($B26*$AM26)+($B26*$AN26))*$AO26,0)</f>
        <v>1</v>
      </c>
      <c r="N26" s="4" t="n">
        <f aca="false">ROUND((($B26*$AG26)+($B26*$AH26))*$AI26,0)</f>
        <v>1</v>
      </c>
      <c r="O26" s="4" t="n">
        <f aca="false">ROUND((($B26*$AJ26)+($B26*$AK26))*$AL26,0)</f>
        <v>1</v>
      </c>
      <c r="Q26" s="4" t="n">
        <f aca="false">INT(VLOOKUP($E26,Role!$A$2:$O$9,8,0)*$B26)</f>
        <v>1</v>
      </c>
      <c r="R26" s="4" t="n">
        <f aca="false">INT(VLOOKUP($E26,Role!$A$2:$O$9,9,0)*$B26)</f>
        <v>1</v>
      </c>
      <c r="S26" s="4" t="n">
        <f aca="false">INT(VLOOKUP($E26,Role!$A$2:$P$9,16,0)*$B26*$AS26)</f>
        <v>0</v>
      </c>
      <c r="T26" s="4" t="n">
        <f aca="false">INT(VLOOKUP($D26,Size!$A$2:$Z$13,18,0)*VLOOKUP($E26,Role!$A$2:$O$9,13,0)*$B26/2)</f>
        <v>29</v>
      </c>
      <c r="U26" s="4" t="n">
        <f aca="false">INT(($BB26*$BE26)+($J26*$BC26))</f>
        <v>35</v>
      </c>
      <c r="V26" s="4" t="n">
        <f aca="false">INT((10+$N26)*VLOOKUP($E26,Role!$A$2:$O$9,14,0))</f>
        <v>11</v>
      </c>
      <c r="W26" s="4" t="n">
        <f aca="false">INT($J26*VLOOKUP($E26,Role!$A$2:$O$9,12,0))</f>
        <v>2</v>
      </c>
      <c r="Y26" s="2" t="n">
        <f aca="false">ROUND(MAX($K26,$M26)+(MIN($K26,$M26)*VLOOKUP($E26,Role!$A$2:$O$9,14,0)),0)</f>
        <v>2</v>
      </c>
      <c r="Z26" s="2" t="n">
        <f aca="false">MAX(1,INT(((MIN($J26:$K26)+(MAX($J26:$K26)*$H26*VLOOKUP($E26,Role!$A$2:$O$9,15,0))))*VLOOKUP($G26,Movement!$A$2:$C$7,3,0)))</f>
        <v>19</v>
      </c>
      <c r="AB26" s="5" t="n">
        <f aca="false">INT(5+(($H26-1)/3))</f>
        <v>6</v>
      </c>
      <c r="AC26" s="5" t="n">
        <f aca="false">IF($AB26&lt;$J26,$J26-MAX($AB26,$B26),0)</f>
        <v>0</v>
      </c>
      <c r="AD26" s="5" t="n">
        <f aca="false">(5-ROUND(($H26-1)/3,0))</f>
        <v>3</v>
      </c>
      <c r="AE26" s="5" t="n">
        <f aca="false">IF($AD26&lt;$K26,$K26-MAX($AD26,$B26),0)</f>
        <v>0</v>
      </c>
      <c r="AG26" s="6" t="n">
        <f aca="false">VLOOKUP($F26,Category!$A$2:$AZ$20,24,0)</f>
        <v>0</v>
      </c>
      <c r="AH26" s="6" t="n">
        <f aca="false">VLOOKUP($F26,Category!$A$2:$AZ$20,26,0)</f>
        <v>0.333333333333333</v>
      </c>
      <c r="AI26" s="6" t="n">
        <f aca="false">VLOOKUP($E26,Role!$A$2:$O$9,10,0)</f>
        <v>0.75</v>
      </c>
      <c r="AJ26" s="6" t="n">
        <f aca="false">VLOOKUP($F26,Category!$A$2:$AZ$20,19,0)</f>
        <v>0.0909090909090909</v>
      </c>
      <c r="AK26" s="6" t="n">
        <f aca="false">VLOOKUP($F26,Category!$A$2:$AZ$20,21,0)</f>
        <v>0.545454545454545</v>
      </c>
      <c r="AL26" s="6" t="n">
        <f aca="false">1</f>
        <v>1</v>
      </c>
      <c r="AM26" s="6" t="n">
        <f aca="false">VLOOKUP($F26,Category!$A$2:$AZ$20,19,0)</f>
        <v>0.0909090909090909</v>
      </c>
      <c r="AN26" s="6" t="n">
        <f aca="false">VLOOKUP($F26,Category!$A$2:$AZ$20,21,0)</f>
        <v>0.545454545454545</v>
      </c>
      <c r="AO26" s="6" t="n">
        <f aca="false">VLOOKUP($E26,Role!$A$2:$O$9,10,0)</f>
        <v>0.75</v>
      </c>
      <c r="AP26" s="6" t="n">
        <f aca="false">VLOOKUP($F26,Category!$A$2:$AZ$20,9,0)</f>
        <v>0</v>
      </c>
      <c r="AQ26" s="6" t="n">
        <f aca="false">VLOOKUP($F26,Category!$A$2:$AZ$20,11,0)</f>
        <v>0.555555555555556</v>
      </c>
      <c r="AR26" s="6" t="n">
        <f aca="false">VLOOKUP($E26,Role!$A$2:$O$9,10,0)</f>
        <v>0.75</v>
      </c>
      <c r="AS26" s="6" t="n">
        <f aca="false">VLOOKUP($F26,Category!$A$2:$AZ$20,10,0)</f>
        <v>0.555555555555556</v>
      </c>
      <c r="AT26" s="7" t="n">
        <f aca="false">VLOOKUP($F26,Category!$A$2:$AZ$20,14,0)</f>
        <v>0.416666666666667</v>
      </c>
      <c r="AU26" s="7" t="n">
        <f aca="false">VLOOKUP($F26,Category!$A$2:$AZ$20,16,0)</f>
        <v>0.25</v>
      </c>
      <c r="AV26" s="7" t="n">
        <f aca="false">VLOOKUP($D26,Size!$A$2:$Z$13,17,0)</f>
        <v>2</v>
      </c>
      <c r="AW26" s="7" t="n">
        <f aca="false">VLOOKUP($F26,Category!$A$2:$AZ$20,29,0)</f>
        <v>0.333333333333333</v>
      </c>
      <c r="AX26" s="7" t="n">
        <f aca="false">VLOOKUP($F26,Category!$A$2:$AZ$20,31,0)</f>
        <v>0.333333333333333</v>
      </c>
      <c r="AY26" s="7" t="n">
        <f aca="false">VLOOKUP($D26,Size!$A$2:$Z$13,16,0)</f>
        <v>5</v>
      </c>
      <c r="AZ26" s="7" t="n">
        <f aca="false">VLOOKUP($E26,Role!$A$2:$O$9,11,0)</f>
        <v>0.75</v>
      </c>
      <c r="BB26" s="5" t="n">
        <f aca="false">VLOOKUP($D26,Size!$A$2:$Z$13,19,0)</f>
        <v>20</v>
      </c>
      <c r="BC26" s="5" t="n">
        <f aca="false">VLOOKUP($D26,Size!$A$2:$Z$13,20,0)</f>
        <v>5</v>
      </c>
      <c r="BD26" s="5" t="n">
        <f aca="false">VLOOKUP($E26,Role!$A$2:$O$9,13,0)</f>
        <v>0.75</v>
      </c>
      <c r="BE26" s="5" t="n">
        <f aca="false">VLOOKUP($C26,Type!$A$2:$B$4,2,0)</f>
        <v>1</v>
      </c>
    </row>
    <row r="27" customFormat="false" ht="12.8" hidden="false" customHeight="false" outlineLevel="0" collapsed="false">
      <c r="B27" s="2" t="n">
        <v>2</v>
      </c>
      <c r="C27" s="3" t="s">
        <v>51</v>
      </c>
      <c r="D27" s="1" t="s">
        <v>76</v>
      </c>
      <c r="E27" s="1" t="s">
        <v>66</v>
      </c>
      <c r="F27" s="1" t="s">
        <v>67</v>
      </c>
      <c r="G27" s="1" t="s">
        <v>55</v>
      </c>
      <c r="H27" s="4" t="n">
        <f aca="false">VLOOKUP($D27,Size!$A$2:$F$13,6,0)</f>
        <v>7</v>
      </c>
      <c r="J27" s="12" t="n">
        <f aca="false">INT(($B27*$AY27*$AW27*$AZ27)+($B27*$AX27))</f>
        <v>3</v>
      </c>
      <c r="K27" s="4" t="n">
        <f aca="false">ROUND((($B27*$AT27)+($AV27*$AU27)),0)</f>
        <v>1</v>
      </c>
      <c r="L27" s="4" t="n">
        <f aca="false">ROUND((($B27*$AP27)+($B27*$AQ27))*$AR27,0)</f>
        <v>1</v>
      </c>
      <c r="M27" s="4" t="n">
        <f aca="false">ROUND((($B27*$AM27)+($B27*$AN27))*$AO27,0)</f>
        <v>1</v>
      </c>
      <c r="N27" s="4" t="n">
        <f aca="false">ROUND((($B27*$AG27)+($B27*$AH27))*$AI27,0)</f>
        <v>1</v>
      </c>
      <c r="O27" s="4" t="n">
        <f aca="false">ROUND((($B27*$AJ27)+($B27*$AK27))*$AL27,0)</f>
        <v>1</v>
      </c>
      <c r="Q27" s="4" t="n">
        <f aca="false">INT(VLOOKUP($E27,Role!$A$2:$O$9,8,0)*$B27)</f>
        <v>1</v>
      </c>
      <c r="R27" s="4" t="n">
        <f aca="false">INT(VLOOKUP($E27,Role!$A$2:$O$9,9,0)*$B27)</f>
        <v>1</v>
      </c>
      <c r="S27" s="4" t="n">
        <f aca="false">INT(VLOOKUP($E27,Role!$A$2:$P$9,16,0)*$B27*$AS27)</f>
        <v>0</v>
      </c>
      <c r="T27" s="4" t="n">
        <f aca="false">INT(VLOOKUP($D27,Size!$A$2:$Z$13,18,0)*VLOOKUP($E27,Role!$A$2:$O$9,13,0)*$B27/2)</f>
        <v>34</v>
      </c>
      <c r="U27" s="4" t="n">
        <f aca="false">INT(($BB27*$BE27)+($J27*$BC27))</f>
        <v>40</v>
      </c>
      <c r="V27" s="4" t="n">
        <f aca="false">INT((10+$N27)*VLOOKUP($E27,Role!$A$2:$O$9,14,0))</f>
        <v>11</v>
      </c>
      <c r="W27" s="4" t="n">
        <f aca="false">INT($J27*VLOOKUP($E27,Role!$A$2:$O$9,12,0))</f>
        <v>2</v>
      </c>
      <c r="Y27" s="2" t="n">
        <f aca="false">ROUND(MAX($K27,$M27)+(MIN($K27,$M27)*VLOOKUP($E27,Role!$A$2:$O$9,14,0)),0)</f>
        <v>2</v>
      </c>
      <c r="Z27" s="2" t="n">
        <f aca="false">MAX(1,INT(((MIN($J27:$K27)+(MAX($J27:$K27)*$H27*VLOOKUP($E27,Role!$A$2:$O$9,15,0))))*VLOOKUP($G27,Movement!$A$2:$C$7,3,0)))</f>
        <v>22</v>
      </c>
      <c r="AB27" s="5" t="n">
        <f aca="false">INT(5+(($H27-1)/3))</f>
        <v>7</v>
      </c>
      <c r="AC27" s="5" t="n">
        <f aca="false">IF($AB27&lt;$J27,$J27-MAX($AB27,$B27),0)</f>
        <v>0</v>
      </c>
      <c r="AD27" s="5" t="n">
        <f aca="false">(5-ROUND(($H27-1)/3,0))</f>
        <v>3</v>
      </c>
      <c r="AE27" s="5" t="n">
        <f aca="false">IF($AD27&lt;$K27,$K27-MAX($AD27,$B27),0)</f>
        <v>0</v>
      </c>
      <c r="AG27" s="6" t="n">
        <f aca="false">VLOOKUP($F27,Category!$A$2:$AZ$20,24,0)</f>
        <v>0</v>
      </c>
      <c r="AH27" s="6" t="n">
        <f aca="false">VLOOKUP($F27,Category!$A$2:$AZ$20,26,0)</f>
        <v>0.333333333333333</v>
      </c>
      <c r="AI27" s="6" t="n">
        <f aca="false">VLOOKUP($E27,Role!$A$2:$O$9,10,0)</f>
        <v>0.75</v>
      </c>
      <c r="AJ27" s="6" t="n">
        <f aca="false">VLOOKUP($F27,Category!$A$2:$AZ$20,19,0)</f>
        <v>0.0909090909090909</v>
      </c>
      <c r="AK27" s="6" t="n">
        <f aca="false">VLOOKUP($F27,Category!$A$2:$AZ$20,21,0)</f>
        <v>0.545454545454545</v>
      </c>
      <c r="AL27" s="6" t="n">
        <f aca="false">1</f>
        <v>1</v>
      </c>
      <c r="AM27" s="6" t="n">
        <f aca="false">VLOOKUP($F27,Category!$A$2:$AZ$20,19,0)</f>
        <v>0.0909090909090909</v>
      </c>
      <c r="AN27" s="6" t="n">
        <f aca="false">VLOOKUP($F27,Category!$A$2:$AZ$20,21,0)</f>
        <v>0.545454545454545</v>
      </c>
      <c r="AO27" s="6" t="n">
        <f aca="false">VLOOKUP($E27,Role!$A$2:$O$9,10,0)</f>
        <v>0.75</v>
      </c>
      <c r="AP27" s="6" t="n">
        <f aca="false">VLOOKUP($F27,Category!$A$2:$AZ$20,9,0)</f>
        <v>0</v>
      </c>
      <c r="AQ27" s="6" t="n">
        <f aca="false">VLOOKUP($F27,Category!$A$2:$AZ$20,11,0)</f>
        <v>0.555555555555556</v>
      </c>
      <c r="AR27" s="6" t="n">
        <f aca="false">VLOOKUP($E27,Role!$A$2:$O$9,10,0)</f>
        <v>0.75</v>
      </c>
      <c r="AS27" s="6" t="n">
        <f aca="false">VLOOKUP($F27,Category!$A$2:$AZ$20,10,0)</f>
        <v>0.555555555555556</v>
      </c>
      <c r="AT27" s="7" t="n">
        <f aca="false">VLOOKUP($F27,Category!$A$2:$AZ$20,14,0)</f>
        <v>0.416666666666667</v>
      </c>
      <c r="AU27" s="7" t="n">
        <f aca="false">VLOOKUP($F27,Category!$A$2:$AZ$20,16,0)</f>
        <v>0.25</v>
      </c>
      <c r="AV27" s="7" t="n">
        <f aca="false">VLOOKUP($D27,Size!$A$2:$Z$13,17,0)</f>
        <v>2</v>
      </c>
      <c r="AW27" s="7" t="n">
        <f aca="false">VLOOKUP($F27,Category!$A$2:$AZ$20,29,0)</f>
        <v>0.333333333333333</v>
      </c>
      <c r="AX27" s="7" t="n">
        <f aca="false">VLOOKUP($F27,Category!$A$2:$AZ$20,31,0)</f>
        <v>0.333333333333333</v>
      </c>
      <c r="AY27" s="7" t="n">
        <f aca="false">VLOOKUP($D27,Size!$A$2:$Z$13,16,0)</f>
        <v>5</v>
      </c>
      <c r="AZ27" s="7" t="n">
        <f aca="false">VLOOKUP($E27,Role!$A$2:$O$9,11,0)</f>
        <v>0.75</v>
      </c>
      <c r="BB27" s="5" t="n">
        <f aca="false">VLOOKUP($D27,Size!$A$2:$Z$13,19,0)</f>
        <v>22</v>
      </c>
      <c r="BC27" s="5" t="n">
        <f aca="false">VLOOKUP($D27,Size!$A$2:$Z$13,20,0)</f>
        <v>6</v>
      </c>
      <c r="BD27" s="5" t="n">
        <f aca="false">VLOOKUP($E27,Role!$A$2:$O$9,13,0)</f>
        <v>0.75</v>
      </c>
      <c r="BE27" s="5" t="n">
        <f aca="false">VLOOKUP($C27,Type!$A$2:$B$4,2,0)</f>
        <v>1</v>
      </c>
    </row>
    <row r="28" customFormat="false" ht="12.8" hidden="false" customHeight="false" outlineLevel="0" collapsed="false">
      <c r="B28" s="2" t="n">
        <v>2</v>
      </c>
      <c r="C28" s="3" t="s">
        <v>51</v>
      </c>
      <c r="D28" s="1" t="s">
        <v>52</v>
      </c>
      <c r="E28" s="1" t="s">
        <v>66</v>
      </c>
      <c r="F28" s="1" t="s">
        <v>67</v>
      </c>
      <c r="G28" s="1" t="s">
        <v>55</v>
      </c>
      <c r="H28" s="4" t="n">
        <f aca="false">VLOOKUP($D28,Size!$A$2:$F$13,6,0)</f>
        <v>1</v>
      </c>
      <c r="J28" s="12" t="n">
        <f aca="false">INT(($B28*$AY28*$AW28*$AZ28)+($B28*$AX28))</f>
        <v>2</v>
      </c>
      <c r="K28" s="4" t="n">
        <f aca="false">ROUND((($B28*$AT28)+($AV28*$AU28)),0)</f>
        <v>2</v>
      </c>
      <c r="L28" s="4" t="n">
        <f aca="false">ROUND((($B28*$AP28)+($B28*$AQ28))*$AR28,0)</f>
        <v>1</v>
      </c>
      <c r="M28" s="4" t="n">
        <f aca="false">ROUND((($B28*$AM28)+($B28*$AN28))*$AO28,0)</f>
        <v>1</v>
      </c>
      <c r="N28" s="4" t="n">
        <f aca="false">ROUND((($B28*$AG28)+($B28*$AH28))*$AI28,0)</f>
        <v>1</v>
      </c>
      <c r="O28" s="4" t="n">
        <f aca="false">ROUND((($B28*$AJ28)+($B28*$AK28))*$AL28,0)</f>
        <v>1</v>
      </c>
      <c r="Q28" s="4" t="n">
        <f aca="false">INT(VLOOKUP($E28,Role!$A$2:$O$9,8,0)*$B28)</f>
        <v>1</v>
      </c>
      <c r="R28" s="4" t="n">
        <f aca="false">INT(VLOOKUP($E28,Role!$A$2:$O$9,9,0)*$B28)</f>
        <v>1</v>
      </c>
      <c r="S28" s="4" t="n">
        <f aca="false">INT(VLOOKUP($E28,Role!$A$2:$P$9,16,0)*$B28*$AS28)</f>
        <v>0</v>
      </c>
      <c r="T28" s="4" t="n">
        <f aca="false">INT(VLOOKUP($D28,Size!$A$2:$Z$13,18,0)*VLOOKUP($E28,Role!$A$2:$O$9,13,0)*$B28/2)</f>
        <v>9</v>
      </c>
      <c r="U28" s="4" t="n">
        <f aca="false">INT(($BB28*$BE28)+($J28*$BC28))</f>
        <v>12</v>
      </c>
      <c r="V28" s="4" t="n">
        <f aca="false">INT((10+$N28)*VLOOKUP($E28,Role!$A$2:$O$9,14,0))</f>
        <v>11</v>
      </c>
      <c r="W28" s="4" t="n">
        <f aca="false">INT($J28*VLOOKUP($E28,Role!$A$2:$O$9,12,0))</f>
        <v>1</v>
      </c>
      <c r="Y28" s="2" t="n">
        <f aca="false">ROUND(MAX($K28,$M28)+(MIN($K28,$M28)*VLOOKUP($E28,Role!$A$2:$O$9,14,0)),0)</f>
        <v>3</v>
      </c>
      <c r="Z28" s="2" t="n">
        <f aca="false">MAX(1,INT(((MIN($J28:$K28)+(MAX($J28:$K28)*$H28*VLOOKUP($E28,Role!$A$2:$O$9,15,0))))*VLOOKUP($G28,Movement!$A$2:$C$7,3,0)))</f>
        <v>4</v>
      </c>
      <c r="AB28" s="5" t="n">
        <f aca="false">INT(5+(($H28-1)/3))</f>
        <v>5</v>
      </c>
      <c r="AC28" s="5" t="n">
        <f aca="false">IF($AB28&lt;$J28,$J28-MAX($AB28,$B28),0)</f>
        <v>0</v>
      </c>
      <c r="AD28" s="5" t="n">
        <f aca="false">(5-ROUND(($H28-1)/3,0))</f>
        <v>5</v>
      </c>
      <c r="AE28" s="5" t="n">
        <f aca="false">IF($AD28&lt;$K28,$K28-MAX($AD28,$B28),0)</f>
        <v>0</v>
      </c>
      <c r="AG28" s="6" t="n">
        <f aca="false">VLOOKUP($F28,Category!$A$2:$AZ$20,24,0)</f>
        <v>0</v>
      </c>
      <c r="AH28" s="6" t="n">
        <f aca="false">VLOOKUP($F28,Category!$A$2:$AZ$20,26,0)</f>
        <v>0.333333333333333</v>
      </c>
      <c r="AI28" s="6" t="n">
        <f aca="false">VLOOKUP($E28,Role!$A$2:$O$9,10,0)</f>
        <v>0.75</v>
      </c>
      <c r="AJ28" s="6" t="n">
        <f aca="false">VLOOKUP($F28,Category!$A$2:$AZ$20,19,0)</f>
        <v>0.0909090909090909</v>
      </c>
      <c r="AK28" s="6" t="n">
        <f aca="false">VLOOKUP($F28,Category!$A$2:$AZ$20,21,0)</f>
        <v>0.545454545454545</v>
      </c>
      <c r="AL28" s="6" t="n">
        <f aca="false">1</f>
        <v>1</v>
      </c>
      <c r="AM28" s="6" t="n">
        <f aca="false">VLOOKUP($F28,Category!$A$2:$AZ$20,19,0)</f>
        <v>0.0909090909090909</v>
      </c>
      <c r="AN28" s="6" t="n">
        <f aca="false">VLOOKUP($F28,Category!$A$2:$AZ$20,21,0)</f>
        <v>0.545454545454545</v>
      </c>
      <c r="AO28" s="6" t="n">
        <f aca="false">VLOOKUP($E28,Role!$A$2:$O$9,10,0)</f>
        <v>0.75</v>
      </c>
      <c r="AP28" s="6" t="n">
        <f aca="false">VLOOKUP($F28,Category!$A$2:$AZ$20,9,0)</f>
        <v>0</v>
      </c>
      <c r="AQ28" s="6" t="n">
        <f aca="false">VLOOKUP($F28,Category!$A$2:$AZ$20,11,0)</f>
        <v>0.555555555555556</v>
      </c>
      <c r="AR28" s="6" t="n">
        <f aca="false">VLOOKUP($E28,Role!$A$2:$O$9,10,0)</f>
        <v>0.75</v>
      </c>
      <c r="AS28" s="6" t="n">
        <f aca="false">VLOOKUP($F28,Category!$A$2:$AZ$20,10,0)</f>
        <v>0.555555555555556</v>
      </c>
      <c r="AT28" s="7" t="n">
        <f aca="false">VLOOKUP($F28,Category!$A$2:$AZ$20,14,0)</f>
        <v>0.416666666666667</v>
      </c>
      <c r="AU28" s="7" t="n">
        <f aca="false">VLOOKUP($F28,Category!$A$2:$AZ$20,16,0)</f>
        <v>0.25</v>
      </c>
      <c r="AV28" s="7" t="n">
        <f aca="false">VLOOKUP($D28,Size!$A$2:$Z$13,17,0)</f>
        <v>3</v>
      </c>
      <c r="AW28" s="7" t="n">
        <f aca="false">VLOOKUP($F28,Category!$A$2:$AZ$20,29,0)</f>
        <v>0.333333333333333</v>
      </c>
      <c r="AX28" s="7" t="n">
        <f aca="false">VLOOKUP($F28,Category!$A$2:$AZ$20,31,0)</f>
        <v>0.333333333333333</v>
      </c>
      <c r="AY28" s="7" t="n">
        <f aca="false">VLOOKUP($D28,Size!$A$2:$Z$13,16,0)</f>
        <v>3</v>
      </c>
      <c r="AZ28" s="7" t="n">
        <f aca="false">VLOOKUP($E28,Role!$A$2:$O$9,11,0)</f>
        <v>0.75</v>
      </c>
      <c r="BB28" s="5" t="n">
        <f aca="false">VLOOKUP($D28,Size!$A$2:$Z$13,19,0)</f>
        <v>10</v>
      </c>
      <c r="BC28" s="5" t="n">
        <f aca="false">VLOOKUP($D28,Size!$A$2:$Z$13,20,0)</f>
        <v>1</v>
      </c>
      <c r="BD28" s="5" t="n">
        <f aca="false">VLOOKUP($E28,Role!$A$2:$O$9,13,0)</f>
        <v>0.75</v>
      </c>
      <c r="BE28" s="5" t="n">
        <f aca="false">VLOOKUP($C28,Type!$A$2:$B$4,2,0)</f>
        <v>1</v>
      </c>
    </row>
    <row r="29" customFormat="false" ht="12.8" hidden="false" customHeight="false" outlineLevel="0" collapsed="false">
      <c r="B29" s="2" t="n">
        <v>2</v>
      </c>
      <c r="C29" s="3" t="s">
        <v>51</v>
      </c>
      <c r="D29" s="1" t="s">
        <v>52</v>
      </c>
      <c r="E29" s="1" t="s">
        <v>66</v>
      </c>
      <c r="F29" s="1" t="s">
        <v>67</v>
      </c>
      <c r="G29" s="1" t="s">
        <v>55</v>
      </c>
      <c r="H29" s="4" t="n">
        <f aca="false">VLOOKUP($D29,Size!$A$2:$F$13,6,0)</f>
        <v>1</v>
      </c>
      <c r="J29" s="12" t="n">
        <f aca="false">INT(($B29*$AY29*$AW29*$AZ29)+($B29*$AX29))</f>
        <v>2</v>
      </c>
      <c r="K29" s="4" t="n">
        <f aca="false">ROUND((($B29*$AT29)+($AV29*$AU29)),0)</f>
        <v>2</v>
      </c>
      <c r="L29" s="4" t="n">
        <f aca="false">ROUND((($B29*$AP29)+($B29*$AQ29))*$AR29,0)</f>
        <v>1</v>
      </c>
      <c r="M29" s="4" t="n">
        <f aca="false">ROUND((($B29*$AM29)+($B29*$AN29))*$AO29,0)</f>
        <v>1</v>
      </c>
      <c r="N29" s="4" t="n">
        <f aca="false">ROUND((($B29*$AG29)+($B29*$AH29))*$AI29,0)</f>
        <v>1</v>
      </c>
      <c r="O29" s="4" t="n">
        <f aca="false">ROUND((($B29*$AJ29)+($B29*$AK29))*$AL29,0)</f>
        <v>1</v>
      </c>
      <c r="Q29" s="4" t="n">
        <f aca="false">INT(VLOOKUP($E29,Role!$A$2:$O$9,8,0)*$B29)</f>
        <v>1</v>
      </c>
      <c r="R29" s="4" t="n">
        <f aca="false">INT(VLOOKUP($E29,Role!$A$2:$O$9,9,0)*$B29)</f>
        <v>1</v>
      </c>
      <c r="S29" s="4" t="n">
        <f aca="false">INT(VLOOKUP($E29,Role!$A$2:$P$9,16,0)*$B29*$AS29)</f>
        <v>0</v>
      </c>
      <c r="T29" s="4" t="n">
        <f aca="false">INT(VLOOKUP($D29,Size!$A$2:$Z$13,18,0)*VLOOKUP($E29,Role!$A$2:$O$9,13,0)*$B29/2)</f>
        <v>9</v>
      </c>
      <c r="U29" s="4" t="n">
        <f aca="false">INT(($BB29*$BE29)+($J29*$BC29))</f>
        <v>12</v>
      </c>
      <c r="V29" s="4" t="n">
        <f aca="false">INT((10+$N29)*VLOOKUP($E29,Role!$A$2:$O$9,14,0))</f>
        <v>11</v>
      </c>
      <c r="W29" s="4" t="n">
        <f aca="false">INT($J29*VLOOKUP($E29,Role!$A$2:$O$9,12,0))</f>
        <v>1</v>
      </c>
      <c r="Y29" s="2" t="n">
        <f aca="false">ROUND(MAX($K29,$M29)+(MIN($K29,$M29)*VLOOKUP($E29,Role!$A$2:$O$9,14,0)),0)</f>
        <v>3</v>
      </c>
      <c r="Z29" s="2" t="n">
        <f aca="false">MAX(1,INT(((MIN($J29:$K29)+(MAX($J29:$K29)*$H29*VLOOKUP($E29,Role!$A$2:$O$9,15,0))))*VLOOKUP($G29,Movement!$A$2:$C$7,3,0)))</f>
        <v>4</v>
      </c>
      <c r="AB29" s="5" t="n">
        <f aca="false">INT(5+(($H29-1)/3))</f>
        <v>5</v>
      </c>
      <c r="AC29" s="5" t="n">
        <f aca="false">IF($AB29&lt;$J29,$J29-MAX($AB29,$B29),0)</f>
        <v>0</v>
      </c>
      <c r="AD29" s="5" t="n">
        <f aca="false">(5-ROUND(($H29-1)/3,0))</f>
        <v>5</v>
      </c>
      <c r="AE29" s="5" t="n">
        <f aca="false">IF($AD29&lt;$K29,$K29-MAX($AD29,$B29),0)</f>
        <v>0</v>
      </c>
      <c r="AG29" s="6" t="n">
        <f aca="false">VLOOKUP($F29,Category!$A$2:$AZ$20,24,0)</f>
        <v>0</v>
      </c>
      <c r="AH29" s="6" t="n">
        <f aca="false">VLOOKUP($F29,Category!$A$2:$AZ$20,26,0)</f>
        <v>0.333333333333333</v>
      </c>
      <c r="AI29" s="6" t="n">
        <f aca="false">VLOOKUP($E29,Role!$A$2:$O$9,10,0)</f>
        <v>0.75</v>
      </c>
      <c r="AJ29" s="6" t="n">
        <f aca="false">VLOOKUP($F29,Category!$A$2:$AZ$20,19,0)</f>
        <v>0.0909090909090909</v>
      </c>
      <c r="AK29" s="6" t="n">
        <f aca="false">VLOOKUP($F29,Category!$A$2:$AZ$20,21,0)</f>
        <v>0.545454545454545</v>
      </c>
      <c r="AL29" s="6" t="n">
        <f aca="false">1</f>
        <v>1</v>
      </c>
      <c r="AM29" s="6" t="n">
        <f aca="false">VLOOKUP($F29,Category!$A$2:$AZ$20,19,0)</f>
        <v>0.0909090909090909</v>
      </c>
      <c r="AN29" s="6" t="n">
        <f aca="false">VLOOKUP($F29,Category!$A$2:$AZ$20,21,0)</f>
        <v>0.545454545454545</v>
      </c>
      <c r="AO29" s="6" t="n">
        <f aca="false">VLOOKUP($E29,Role!$A$2:$O$9,10,0)</f>
        <v>0.75</v>
      </c>
      <c r="AP29" s="6" t="n">
        <f aca="false">VLOOKUP($F29,Category!$A$2:$AZ$20,9,0)</f>
        <v>0</v>
      </c>
      <c r="AQ29" s="6" t="n">
        <f aca="false">VLOOKUP($F29,Category!$A$2:$AZ$20,11,0)</f>
        <v>0.555555555555556</v>
      </c>
      <c r="AR29" s="6" t="n">
        <f aca="false">VLOOKUP($E29,Role!$A$2:$O$9,10,0)</f>
        <v>0.75</v>
      </c>
      <c r="AS29" s="6" t="n">
        <f aca="false">VLOOKUP($F29,Category!$A$2:$AZ$20,10,0)</f>
        <v>0.555555555555556</v>
      </c>
      <c r="AT29" s="7" t="n">
        <f aca="false">VLOOKUP($F29,Category!$A$2:$AZ$20,14,0)</f>
        <v>0.416666666666667</v>
      </c>
      <c r="AU29" s="7" t="n">
        <f aca="false">VLOOKUP($F29,Category!$A$2:$AZ$20,16,0)</f>
        <v>0.25</v>
      </c>
      <c r="AV29" s="7" t="n">
        <f aca="false">VLOOKUP($D29,Size!$A$2:$Z$13,17,0)</f>
        <v>3</v>
      </c>
      <c r="AW29" s="7" t="n">
        <f aca="false">VLOOKUP($F29,Category!$A$2:$AZ$20,29,0)</f>
        <v>0.333333333333333</v>
      </c>
      <c r="AX29" s="7" t="n">
        <f aca="false">VLOOKUP($F29,Category!$A$2:$AZ$20,31,0)</f>
        <v>0.333333333333333</v>
      </c>
      <c r="AY29" s="7" t="n">
        <f aca="false">VLOOKUP($D29,Size!$A$2:$Z$13,16,0)</f>
        <v>3</v>
      </c>
      <c r="AZ29" s="7" t="n">
        <f aca="false">VLOOKUP($E29,Role!$A$2:$O$9,11,0)</f>
        <v>0.75</v>
      </c>
      <c r="BB29" s="5" t="n">
        <f aca="false">VLOOKUP($D29,Size!$A$2:$Z$13,19,0)</f>
        <v>10</v>
      </c>
      <c r="BC29" s="5" t="n">
        <f aca="false">VLOOKUP($D29,Size!$A$2:$Z$13,20,0)</f>
        <v>1</v>
      </c>
      <c r="BD29" s="5" t="n">
        <f aca="false">VLOOKUP($E29,Role!$A$2:$O$9,13,0)</f>
        <v>0.75</v>
      </c>
      <c r="BE29" s="5" t="n">
        <f aca="false">VLOOKUP($C29,Type!$A$2:$B$4,2,0)</f>
        <v>1</v>
      </c>
    </row>
    <row r="30" customFormat="false" ht="12.8" hidden="false" customHeight="false" outlineLevel="0" collapsed="false">
      <c r="B30" s="2" t="n">
        <v>2</v>
      </c>
      <c r="C30" s="3" t="s">
        <v>51</v>
      </c>
      <c r="D30" s="1" t="s">
        <v>52</v>
      </c>
      <c r="E30" s="1" t="s">
        <v>66</v>
      </c>
      <c r="F30" s="1" t="s">
        <v>67</v>
      </c>
      <c r="G30" s="1" t="s">
        <v>55</v>
      </c>
      <c r="H30" s="4" t="n">
        <f aca="false">VLOOKUP($D30,Size!$A$2:$F$13,6,0)</f>
        <v>1</v>
      </c>
      <c r="J30" s="12" t="n">
        <f aca="false">INT(($B30*$AY30*$AW30*$AZ30)+($B30*$AX30))</f>
        <v>2</v>
      </c>
      <c r="K30" s="4" t="n">
        <f aca="false">ROUND((($B30*$AT30)+($AV30*$AU30)),0)</f>
        <v>2</v>
      </c>
      <c r="L30" s="4" t="n">
        <f aca="false">ROUND((($B30*$AP30)+($B30*$AQ30))*$AR30,0)</f>
        <v>1</v>
      </c>
      <c r="M30" s="4" t="n">
        <f aca="false">ROUND((($B30*$AM30)+($B30*$AN30))*$AO30,0)</f>
        <v>1</v>
      </c>
      <c r="N30" s="4" t="n">
        <f aca="false">ROUND((($B30*$AG30)+($B30*$AH30))*$AI30,0)</f>
        <v>1</v>
      </c>
      <c r="O30" s="4" t="n">
        <f aca="false">ROUND((($B30*$AJ30)+($B30*$AK30))*$AL30,0)</f>
        <v>1</v>
      </c>
      <c r="Q30" s="4" t="n">
        <f aca="false">INT(VLOOKUP($E30,Role!$A$2:$O$9,8,0)*$B30)</f>
        <v>1</v>
      </c>
      <c r="R30" s="4" t="n">
        <f aca="false">INT(VLOOKUP($E30,Role!$A$2:$O$9,9,0)*$B30)</f>
        <v>1</v>
      </c>
      <c r="S30" s="4" t="n">
        <f aca="false">INT(VLOOKUP($E30,Role!$A$2:$P$9,16,0)*$B30*$AS30)</f>
        <v>0</v>
      </c>
      <c r="T30" s="4" t="n">
        <f aca="false">INT(VLOOKUP($D30,Size!$A$2:$Z$13,18,0)*VLOOKUP($E30,Role!$A$2:$O$9,13,0)*$B30/2)</f>
        <v>9</v>
      </c>
      <c r="U30" s="4" t="n">
        <f aca="false">INT(($BB30*$BE30)+($J30*$BC30))</f>
        <v>12</v>
      </c>
      <c r="V30" s="4" t="n">
        <f aca="false">INT((10+$N30)*VLOOKUP($E30,Role!$A$2:$O$9,14,0))</f>
        <v>11</v>
      </c>
      <c r="W30" s="4" t="n">
        <f aca="false">INT($J30*VLOOKUP($E30,Role!$A$2:$O$9,12,0))</f>
        <v>1</v>
      </c>
      <c r="Y30" s="2" t="n">
        <f aca="false">ROUND(MAX($K30,$M30)+(MIN($K30,$M30)*VLOOKUP($E30,Role!$A$2:$O$9,14,0)),0)</f>
        <v>3</v>
      </c>
      <c r="Z30" s="2" t="n">
        <f aca="false">MAX(1,INT(((MIN($J30:$K30)+(MAX($J30:$K30)*$H30*VLOOKUP($E30,Role!$A$2:$O$9,15,0))))*VLOOKUP($G30,Movement!$A$2:$C$7,3,0)))</f>
        <v>4</v>
      </c>
      <c r="AB30" s="5" t="n">
        <f aca="false">INT(5+(($H30-1)/3))</f>
        <v>5</v>
      </c>
      <c r="AC30" s="5" t="n">
        <f aca="false">IF($AB30&lt;$J30,$J30-MAX($AB30,$B30),0)</f>
        <v>0</v>
      </c>
      <c r="AD30" s="5" t="n">
        <f aca="false">(5-ROUND(($H30-1)/3,0))</f>
        <v>5</v>
      </c>
      <c r="AE30" s="5" t="n">
        <f aca="false">IF($AD30&lt;$K30,$K30-MAX($AD30,$B30),0)</f>
        <v>0</v>
      </c>
      <c r="AG30" s="6" t="n">
        <f aca="false">VLOOKUP($F30,Category!$A$2:$AZ$20,24,0)</f>
        <v>0</v>
      </c>
      <c r="AH30" s="6" t="n">
        <f aca="false">VLOOKUP($F30,Category!$A$2:$AZ$20,26,0)</f>
        <v>0.333333333333333</v>
      </c>
      <c r="AI30" s="6" t="n">
        <f aca="false">VLOOKUP($E30,Role!$A$2:$O$9,10,0)</f>
        <v>0.75</v>
      </c>
      <c r="AJ30" s="6" t="n">
        <f aca="false">VLOOKUP($F30,Category!$A$2:$AZ$20,19,0)</f>
        <v>0.0909090909090909</v>
      </c>
      <c r="AK30" s="6" t="n">
        <f aca="false">VLOOKUP($F30,Category!$A$2:$AZ$20,21,0)</f>
        <v>0.545454545454545</v>
      </c>
      <c r="AL30" s="6" t="n">
        <f aca="false">1</f>
        <v>1</v>
      </c>
      <c r="AM30" s="6" t="n">
        <f aca="false">VLOOKUP($F30,Category!$A$2:$AZ$20,19,0)</f>
        <v>0.0909090909090909</v>
      </c>
      <c r="AN30" s="6" t="n">
        <f aca="false">VLOOKUP($F30,Category!$A$2:$AZ$20,21,0)</f>
        <v>0.545454545454545</v>
      </c>
      <c r="AO30" s="6" t="n">
        <f aca="false">VLOOKUP($E30,Role!$A$2:$O$9,10,0)</f>
        <v>0.75</v>
      </c>
      <c r="AP30" s="6" t="n">
        <f aca="false">VLOOKUP($F30,Category!$A$2:$AZ$20,9,0)</f>
        <v>0</v>
      </c>
      <c r="AQ30" s="6" t="n">
        <f aca="false">VLOOKUP($F30,Category!$A$2:$AZ$20,11,0)</f>
        <v>0.555555555555556</v>
      </c>
      <c r="AR30" s="6" t="n">
        <f aca="false">VLOOKUP($E30,Role!$A$2:$O$9,10,0)</f>
        <v>0.75</v>
      </c>
      <c r="AS30" s="6" t="n">
        <f aca="false">VLOOKUP($F30,Category!$A$2:$AZ$20,10,0)</f>
        <v>0.555555555555556</v>
      </c>
      <c r="AT30" s="7" t="n">
        <f aca="false">VLOOKUP($F30,Category!$A$2:$AZ$20,14,0)</f>
        <v>0.416666666666667</v>
      </c>
      <c r="AU30" s="7" t="n">
        <f aca="false">VLOOKUP($F30,Category!$A$2:$AZ$20,16,0)</f>
        <v>0.25</v>
      </c>
      <c r="AV30" s="7" t="n">
        <f aca="false">VLOOKUP($D30,Size!$A$2:$Z$13,17,0)</f>
        <v>3</v>
      </c>
      <c r="AW30" s="7" t="n">
        <f aca="false">VLOOKUP($F30,Category!$A$2:$AZ$20,29,0)</f>
        <v>0.333333333333333</v>
      </c>
      <c r="AX30" s="7" t="n">
        <f aca="false">VLOOKUP($F30,Category!$A$2:$AZ$20,31,0)</f>
        <v>0.333333333333333</v>
      </c>
      <c r="AY30" s="7" t="n">
        <f aca="false">VLOOKUP($D30,Size!$A$2:$Z$13,16,0)</f>
        <v>3</v>
      </c>
      <c r="AZ30" s="7" t="n">
        <f aca="false">VLOOKUP($E30,Role!$A$2:$O$9,11,0)</f>
        <v>0.75</v>
      </c>
      <c r="BB30" s="5" t="n">
        <f aca="false">VLOOKUP($D30,Size!$A$2:$Z$13,19,0)</f>
        <v>10</v>
      </c>
      <c r="BC30" s="5" t="n">
        <f aca="false">VLOOKUP($D30,Size!$A$2:$Z$13,20,0)</f>
        <v>1</v>
      </c>
      <c r="BD30" s="5" t="n">
        <f aca="false">VLOOKUP($E30,Role!$A$2:$O$9,13,0)</f>
        <v>0.75</v>
      </c>
      <c r="BE30" s="5" t="n">
        <f aca="false">VLOOKUP($C30,Type!$A$2:$B$4,2,0)</f>
        <v>1</v>
      </c>
    </row>
    <row r="31" customFormat="false" ht="12.8" hidden="false" customHeight="false" outlineLevel="0" collapsed="false">
      <c r="B31" s="2" t="n">
        <v>2</v>
      </c>
      <c r="C31" s="3" t="s">
        <v>51</v>
      </c>
      <c r="D31" s="1" t="s">
        <v>52</v>
      </c>
      <c r="E31" s="1" t="s">
        <v>66</v>
      </c>
      <c r="F31" s="1" t="s">
        <v>67</v>
      </c>
      <c r="G31" s="1" t="s">
        <v>55</v>
      </c>
      <c r="H31" s="4" t="n">
        <f aca="false">VLOOKUP($D31,Size!$A$2:$F$13,6,0)</f>
        <v>1</v>
      </c>
      <c r="J31" s="12" t="n">
        <f aca="false">INT(($B31*$AY31*$AW31*$AZ31)+($B31*$AX31))</f>
        <v>2</v>
      </c>
      <c r="K31" s="4" t="n">
        <f aca="false">ROUND((($B31*$AT31)+($AV31*$AU31)),0)</f>
        <v>2</v>
      </c>
      <c r="L31" s="4" t="n">
        <f aca="false">ROUND((($B31*$AP31)+($B31*$AQ31))*$AR31,0)</f>
        <v>1</v>
      </c>
      <c r="M31" s="4" t="n">
        <f aca="false">ROUND((($B31*$AM31)+($B31*$AN31))*$AO31,0)</f>
        <v>1</v>
      </c>
      <c r="N31" s="4" t="n">
        <f aca="false">ROUND((($B31*$AG31)+($B31*$AH31))*$AI31,0)</f>
        <v>1</v>
      </c>
      <c r="O31" s="4" t="n">
        <f aca="false">ROUND((($B31*$AJ31)+($B31*$AK31))*$AL31,0)</f>
        <v>1</v>
      </c>
      <c r="Q31" s="4" t="n">
        <f aca="false">INT(VLOOKUP($E31,Role!$A$2:$O$9,8,0)*$B31)</f>
        <v>1</v>
      </c>
      <c r="R31" s="4" t="n">
        <f aca="false">INT(VLOOKUP($E31,Role!$A$2:$O$9,9,0)*$B31)</f>
        <v>1</v>
      </c>
      <c r="S31" s="4" t="n">
        <f aca="false">INT(VLOOKUP($E31,Role!$A$2:$P$9,16,0)*$B31*$AS31)</f>
        <v>0</v>
      </c>
      <c r="T31" s="4" t="n">
        <f aca="false">INT(VLOOKUP($D31,Size!$A$2:$Z$13,18,0)*VLOOKUP($E31,Role!$A$2:$O$9,13,0)*$B31/2)</f>
        <v>9</v>
      </c>
      <c r="U31" s="4" t="n">
        <f aca="false">INT(($BB31*$BE31)+($J31*$BC31))</f>
        <v>12</v>
      </c>
      <c r="V31" s="4" t="n">
        <f aca="false">INT((10+$N31)*VLOOKUP($E31,Role!$A$2:$O$9,14,0))</f>
        <v>11</v>
      </c>
      <c r="W31" s="4" t="n">
        <f aca="false">INT($J31*VLOOKUP($E31,Role!$A$2:$O$9,12,0))</f>
        <v>1</v>
      </c>
      <c r="Y31" s="2" t="n">
        <f aca="false">ROUND(MAX($K31,$M31)+(MIN($K31,$M31)*VLOOKUP($E31,Role!$A$2:$O$9,14,0)),0)</f>
        <v>3</v>
      </c>
      <c r="Z31" s="2" t="n">
        <f aca="false">MAX(1,INT(((MIN($J31:$K31)+(MAX($J31:$K31)*$H31*VLOOKUP($E31,Role!$A$2:$O$9,15,0))))*VLOOKUP($G31,Movement!$A$2:$C$7,3,0)))</f>
        <v>4</v>
      </c>
      <c r="AB31" s="5" t="n">
        <f aca="false">INT(5+(($H31-1)/3))</f>
        <v>5</v>
      </c>
      <c r="AC31" s="5" t="n">
        <f aca="false">IF($AB31&lt;$J31,$J31-MAX($AB31,$B31),0)</f>
        <v>0</v>
      </c>
      <c r="AD31" s="5" t="n">
        <f aca="false">(5-ROUND(($H31-1)/3,0))</f>
        <v>5</v>
      </c>
      <c r="AE31" s="5" t="n">
        <f aca="false">IF($AD31&lt;$K31,$K31-MAX($AD31,$B31),0)</f>
        <v>0</v>
      </c>
      <c r="AG31" s="6" t="n">
        <f aca="false">VLOOKUP($F31,Category!$A$2:$AZ$20,24,0)</f>
        <v>0</v>
      </c>
      <c r="AH31" s="6" t="n">
        <f aca="false">VLOOKUP($F31,Category!$A$2:$AZ$20,26,0)</f>
        <v>0.333333333333333</v>
      </c>
      <c r="AI31" s="6" t="n">
        <f aca="false">VLOOKUP($E31,Role!$A$2:$O$9,10,0)</f>
        <v>0.75</v>
      </c>
      <c r="AJ31" s="6" t="n">
        <f aca="false">VLOOKUP($F31,Category!$A$2:$AZ$20,19,0)</f>
        <v>0.0909090909090909</v>
      </c>
      <c r="AK31" s="6" t="n">
        <f aca="false">VLOOKUP($F31,Category!$A$2:$AZ$20,21,0)</f>
        <v>0.545454545454545</v>
      </c>
      <c r="AL31" s="6" t="n">
        <f aca="false">1</f>
        <v>1</v>
      </c>
      <c r="AM31" s="6" t="n">
        <f aca="false">VLOOKUP($F31,Category!$A$2:$AZ$20,19,0)</f>
        <v>0.0909090909090909</v>
      </c>
      <c r="AN31" s="6" t="n">
        <f aca="false">VLOOKUP($F31,Category!$A$2:$AZ$20,21,0)</f>
        <v>0.545454545454545</v>
      </c>
      <c r="AO31" s="6" t="n">
        <f aca="false">VLOOKUP($E31,Role!$A$2:$O$9,10,0)</f>
        <v>0.75</v>
      </c>
      <c r="AP31" s="6" t="n">
        <f aca="false">VLOOKUP($F31,Category!$A$2:$AZ$20,9,0)</f>
        <v>0</v>
      </c>
      <c r="AQ31" s="6" t="n">
        <f aca="false">VLOOKUP($F31,Category!$A$2:$AZ$20,11,0)</f>
        <v>0.555555555555556</v>
      </c>
      <c r="AR31" s="6" t="n">
        <f aca="false">VLOOKUP($E31,Role!$A$2:$O$9,10,0)</f>
        <v>0.75</v>
      </c>
      <c r="AS31" s="6" t="n">
        <f aca="false">VLOOKUP($F31,Category!$A$2:$AZ$20,10,0)</f>
        <v>0.555555555555556</v>
      </c>
      <c r="AT31" s="7" t="n">
        <f aca="false">VLOOKUP($F31,Category!$A$2:$AZ$20,14,0)</f>
        <v>0.416666666666667</v>
      </c>
      <c r="AU31" s="7" t="n">
        <f aca="false">VLOOKUP($F31,Category!$A$2:$AZ$20,16,0)</f>
        <v>0.25</v>
      </c>
      <c r="AV31" s="7" t="n">
        <f aca="false">VLOOKUP($D31,Size!$A$2:$Z$13,17,0)</f>
        <v>3</v>
      </c>
      <c r="AW31" s="7" t="n">
        <f aca="false">VLOOKUP($F31,Category!$A$2:$AZ$20,29,0)</f>
        <v>0.333333333333333</v>
      </c>
      <c r="AX31" s="7" t="n">
        <f aca="false">VLOOKUP($F31,Category!$A$2:$AZ$20,31,0)</f>
        <v>0.333333333333333</v>
      </c>
      <c r="AY31" s="7" t="n">
        <f aca="false">VLOOKUP($D31,Size!$A$2:$Z$13,16,0)</f>
        <v>3</v>
      </c>
      <c r="AZ31" s="7" t="n">
        <f aca="false">VLOOKUP($E31,Role!$A$2:$O$9,11,0)</f>
        <v>0.75</v>
      </c>
      <c r="BB31" s="5" t="n">
        <f aca="false">VLOOKUP($D31,Size!$A$2:$Z$13,19,0)</f>
        <v>10</v>
      </c>
      <c r="BC31" s="5" t="n">
        <f aca="false">VLOOKUP($D31,Size!$A$2:$Z$13,20,0)</f>
        <v>1</v>
      </c>
      <c r="BD31" s="5" t="n">
        <f aca="false">VLOOKUP($E31,Role!$A$2:$O$9,13,0)</f>
        <v>0.75</v>
      </c>
      <c r="BE31" s="5" t="n">
        <f aca="false">VLOOKUP($C31,Type!$A$2:$B$4,2,0)</f>
        <v>1</v>
      </c>
    </row>
    <row r="32" customFormat="false" ht="12.8" hidden="false" customHeight="false" outlineLevel="0" collapsed="false">
      <c r="B32" s="2" t="n">
        <v>2</v>
      </c>
      <c r="C32" s="3" t="s">
        <v>51</v>
      </c>
      <c r="D32" s="1" t="s">
        <v>52</v>
      </c>
      <c r="E32" s="1" t="s">
        <v>66</v>
      </c>
      <c r="F32" s="1" t="s">
        <v>67</v>
      </c>
      <c r="G32" s="1" t="s">
        <v>55</v>
      </c>
      <c r="H32" s="4" t="n">
        <f aca="false">VLOOKUP($D32,Size!$A$2:$F$13,6,0)</f>
        <v>1</v>
      </c>
      <c r="J32" s="12" t="n">
        <f aca="false">INT(($B32*$AY32*$AW32*$AZ32)+($B32*$AX32))</f>
        <v>2</v>
      </c>
      <c r="K32" s="4" t="n">
        <f aca="false">ROUND((($B32*$AT32)+($AV32*$AU32)),0)</f>
        <v>2</v>
      </c>
      <c r="L32" s="4" t="n">
        <f aca="false">ROUND((($B32*$AP32)+($B32*$AQ32))*$AR32,0)</f>
        <v>1</v>
      </c>
      <c r="M32" s="4" t="n">
        <f aca="false">ROUND((($B32*$AM32)+($B32*$AN32))*$AO32,0)</f>
        <v>1</v>
      </c>
      <c r="N32" s="4" t="n">
        <f aca="false">ROUND((($B32*$AG32)+($B32*$AH32))*$AI32,0)</f>
        <v>1</v>
      </c>
      <c r="O32" s="4" t="n">
        <f aca="false">ROUND((($B32*$AJ32)+($B32*$AK32))*$AL32,0)</f>
        <v>1</v>
      </c>
      <c r="Q32" s="4" t="n">
        <f aca="false">INT(VLOOKUP($E32,Role!$A$2:$O$9,8,0)*$B32)</f>
        <v>1</v>
      </c>
      <c r="R32" s="4" t="n">
        <f aca="false">INT(VLOOKUP($E32,Role!$A$2:$O$9,9,0)*$B32)</f>
        <v>1</v>
      </c>
      <c r="S32" s="4" t="n">
        <f aca="false">INT(VLOOKUP($E32,Role!$A$2:$P$9,16,0)*$B32*$AS32)</f>
        <v>0</v>
      </c>
      <c r="T32" s="4" t="n">
        <f aca="false">INT(VLOOKUP($D32,Size!$A$2:$Z$13,18,0)*VLOOKUP($E32,Role!$A$2:$O$9,13,0)*$B32/2)</f>
        <v>9</v>
      </c>
      <c r="U32" s="4" t="n">
        <f aca="false">INT(($BB32*$BE32)+($J32*$BC32))</f>
        <v>12</v>
      </c>
      <c r="V32" s="4" t="n">
        <f aca="false">INT((10+$N32)*VLOOKUP($E32,Role!$A$2:$O$9,14,0))</f>
        <v>11</v>
      </c>
      <c r="W32" s="4" t="n">
        <f aca="false">INT($J32*VLOOKUP($E32,Role!$A$2:$O$9,12,0))</f>
        <v>1</v>
      </c>
      <c r="Y32" s="2" t="n">
        <f aca="false">ROUND(MAX($K32,$M32)+(MIN($K32,$M32)*VLOOKUP($E32,Role!$A$2:$O$9,14,0)),0)</f>
        <v>3</v>
      </c>
      <c r="Z32" s="2" t="n">
        <f aca="false">MAX(1,INT(((MIN($J32:$K32)+(MAX($J32:$K32)*$H32*VLOOKUP($E32,Role!$A$2:$O$9,15,0))))*VLOOKUP($G32,Movement!$A$2:$C$7,3,0)))</f>
        <v>4</v>
      </c>
      <c r="AB32" s="5" t="n">
        <f aca="false">INT(5+(($H32-1)/3))</f>
        <v>5</v>
      </c>
      <c r="AC32" s="5" t="n">
        <f aca="false">IF($AB32&lt;$J32,$J32-MAX($AB32,$B32),0)</f>
        <v>0</v>
      </c>
      <c r="AD32" s="5" t="n">
        <f aca="false">(5-ROUND(($H32-1)/3,0))</f>
        <v>5</v>
      </c>
      <c r="AE32" s="5" t="n">
        <f aca="false">IF($AD32&lt;$K32,$K32-MAX($AD32,$B32),0)</f>
        <v>0</v>
      </c>
      <c r="AG32" s="6" t="n">
        <f aca="false">VLOOKUP($F32,Category!$A$2:$AZ$20,24,0)</f>
        <v>0</v>
      </c>
      <c r="AH32" s="6" t="n">
        <f aca="false">VLOOKUP($F32,Category!$A$2:$AZ$20,26,0)</f>
        <v>0.333333333333333</v>
      </c>
      <c r="AI32" s="6" t="n">
        <f aca="false">VLOOKUP($E32,Role!$A$2:$O$9,10,0)</f>
        <v>0.75</v>
      </c>
      <c r="AJ32" s="6" t="n">
        <f aca="false">VLOOKUP($F32,Category!$A$2:$AZ$20,19,0)</f>
        <v>0.0909090909090909</v>
      </c>
      <c r="AK32" s="6" t="n">
        <f aca="false">VLOOKUP($F32,Category!$A$2:$AZ$20,21,0)</f>
        <v>0.545454545454545</v>
      </c>
      <c r="AL32" s="6" t="n">
        <f aca="false">1</f>
        <v>1</v>
      </c>
      <c r="AM32" s="6" t="n">
        <f aca="false">VLOOKUP($F32,Category!$A$2:$AZ$20,19,0)</f>
        <v>0.0909090909090909</v>
      </c>
      <c r="AN32" s="6" t="n">
        <f aca="false">VLOOKUP($F32,Category!$A$2:$AZ$20,21,0)</f>
        <v>0.545454545454545</v>
      </c>
      <c r="AO32" s="6" t="n">
        <f aca="false">VLOOKUP($E32,Role!$A$2:$O$9,10,0)</f>
        <v>0.75</v>
      </c>
      <c r="AP32" s="6" t="n">
        <f aca="false">VLOOKUP($F32,Category!$A$2:$AZ$20,9,0)</f>
        <v>0</v>
      </c>
      <c r="AQ32" s="6" t="n">
        <f aca="false">VLOOKUP($F32,Category!$A$2:$AZ$20,11,0)</f>
        <v>0.555555555555556</v>
      </c>
      <c r="AR32" s="6" t="n">
        <f aca="false">VLOOKUP($E32,Role!$A$2:$O$9,10,0)</f>
        <v>0.75</v>
      </c>
      <c r="AS32" s="6" t="n">
        <f aca="false">VLOOKUP($F32,Category!$A$2:$AZ$20,10,0)</f>
        <v>0.555555555555556</v>
      </c>
      <c r="AT32" s="7" t="n">
        <f aca="false">VLOOKUP($F32,Category!$A$2:$AZ$20,14,0)</f>
        <v>0.416666666666667</v>
      </c>
      <c r="AU32" s="7" t="n">
        <f aca="false">VLOOKUP($F32,Category!$A$2:$AZ$20,16,0)</f>
        <v>0.25</v>
      </c>
      <c r="AV32" s="7" t="n">
        <f aca="false">VLOOKUP($D32,Size!$A$2:$Z$13,17,0)</f>
        <v>3</v>
      </c>
      <c r="AW32" s="7" t="n">
        <f aca="false">VLOOKUP($F32,Category!$A$2:$AZ$20,29,0)</f>
        <v>0.333333333333333</v>
      </c>
      <c r="AX32" s="7" t="n">
        <f aca="false">VLOOKUP($F32,Category!$A$2:$AZ$20,31,0)</f>
        <v>0.333333333333333</v>
      </c>
      <c r="AY32" s="7" t="n">
        <f aca="false">VLOOKUP($D32,Size!$A$2:$Z$13,16,0)</f>
        <v>3</v>
      </c>
      <c r="AZ32" s="7" t="n">
        <f aca="false">VLOOKUP($E32,Role!$A$2:$O$9,11,0)</f>
        <v>0.75</v>
      </c>
      <c r="BB32" s="5" t="n">
        <f aca="false">VLOOKUP($D32,Size!$A$2:$Z$13,19,0)</f>
        <v>10</v>
      </c>
      <c r="BC32" s="5" t="n">
        <f aca="false">VLOOKUP($D32,Size!$A$2:$Z$13,20,0)</f>
        <v>1</v>
      </c>
      <c r="BD32" s="5" t="n">
        <f aca="false">VLOOKUP($E32,Role!$A$2:$O$9,13,0)</f>
        <v>0.75</v>
      </c>
      <c r="BE32" s="5" t="n">
        <f aca="false">VLOOKUP($C32,Type!$A$2:$B$4,2,0)</f>
        <v>1</v>
      </c>
    </row>
    <row r="33" customFormat="false" ht="12.8" hidden="false" customHeight="false" outlineLevel="0" collapsed="false">
      <c r="B33" s="2" t="n">
        <v>2</v>
      </c>
      <c r="C33" s="3" t="s">
        <v>51</v>
      </c>
      <c r="D33" s="1" t="s">
        <v>52</v>
      </c>
      <c r="E33" s="1" t="s">
        <v>66</v>
      </c>
      <c r="F33" s="1" t="s">
        <v>67</v>
      </c>
      <c r="G33" s="1" t="s">
        <v>55</v>
      </c>
      <c r="H33" s="4" t="n">
        <f aca="false">VLOOKUP($D33,Size!$A$2:$F$13,6,0)</f>
        <v>1</v>
      </c>
      <c r="J33" s="12" t="n">
        <f aca="false">INT(($B33*$AY33*$AW33*$AZ33)+($B33*$AX33))</f>
        <v>2</v>
      </c>
      <c r="K33" s="4" t="n">
        <f aca="false">ROUND((($B33*$AT33)+($AV33*$AU33)),0)</f>
        <v>2</v>
      </c>
      <c r="L33" s="4" t="n">
        <f aca="false">ROUND((($B33*$AP33)+($B33*$AQ33))*$AR33,0)</f>
        <v>1</v>
      </c>
      <c r="M33" s="4" t="n">
        <f aca="false">ROUND((($B33*$AM33)+($B33*$AN33))*$AO33,0)</f>
        <v>1</v>
      </c>
      <c r="N33" s="4" t="n">
        <f aca="false">ROUND((($B33*$AG33)+($B33*$AH33))*$AI33,0)</f>
        <v>1</v>
      </c>
      <c r="O33" s="4" t="n">
        <f aca="false">ROUND((($B33*$AJ33)+($B33*$AK33))*$AL33,0)</f>
        <v>1</v>
      </c>
      <c r="Q33" s="4" t="n">
        <f aca="false">INT(VLOOKUP($E33,Role!$A$2:$O$9,8,0)*$B33)</f>
        <v>1</v>
      </c>
      <c r="R33" s="4" t="n">
        <f aca="false">INT(VLOOKUP($E33,Role!$A$2:$O$9,9,0)*$B33)</f>
        <v>1</v>
      </c>
      <c r="S33" s="4" t="n">
        <f aca="false">INT(VLOOKUP($E33,Role!$A$2:$P$9,16,0)*$B33*$AS33)</f>
        <v>0</v>
      </c>
      <c r="T33" s="4" t="n">
        <f aca="false">INT(VLOOKUP($D33,Size!$A$2:$Z$13,18,0)*VLOOKUP($E33,Role!$A$2:$O$9,13,0)*$B33/2)</f>
        <v>9</v>
      </c>
      <c r="U33" s="4" t="n">
        <f aca="false">INT(($BB33*$BE33)+($J33*$BC33))</f>
        <v>12</v>
      </c>
      <c r="V33" s="4" t="n">
        <f aca="false">INT((10+$N33)*VLOOKUP($E33,Role!$A$2:$O$9,14,0))</f>
        <v>11</v>
      </c>
      <c r="W33" s="4" t="n">
        <f aca="false">INT($J33*VLOOKUP($E33,Role!$A$2:$O$9,12,0))</f>
        <v>1</v>
      </c>
      <c r="Y33" s="2" t="n">
        <f aca="false">ROUND(MAX($K33,$M33)+(MIN($K33,$M33)*VLOOKUP($E33,Role!$A$2:$O$9,14,0)),0)</f>
        <v>3</v>
      </c>
      <c r="Z33" s="2" t="n">
        <f aca="false">MAX(1,INT(((MIN($J33:$K33)+(MAX($J33:$K33)*$H33*VLOOKUP($E33,Role!$A$2:$O$9,15,0))))*VLOOKUP($G33,Movement!$A$2:$C$7,3,0)))</f>
        <v>4</v>
      </c>
      <c r="AB33" s="5" t="n">
        <f aca="false">INT(5+(($H33-1)/3))</f>
        <v>5</v>
      </c>
      <c r="AC33" s="5" t="n">
        <f aca="false">IF($AB33&lt;$J33,$J33-MAX($AB33,$B33),0)</f>
        <v>0</v>
      </c>
      <c r="AD33" s="5" t="n">
        <f aca="false">(5-ROUND(($H33-1)/3,0))</f>
        <v>5</v>
      </c>
      <c r="AE33" s="5" t="n">
        <f aca="false">IF($AD33&lt;$K33,$K33-MAX($AD33,$B33),0)</f>
        <v>0</v>
      </c>
      <c r="AG33" s="6" t="n">
        <f aca="false">VLOOKUP($F33,Category!$A$2:$AZ$20,24,0)</f>
        <v>0</v>
      </c>
      <c r="AH33" s="6" t="n">
        <f aca="false">VLOOKUP($F33,Category!$A$2:$AZ$20,26,0)</f>
        <v>0.333333333333333</v>
      </c>
      <c r="AI33" s="6" t="n">
        <f aca="false">VLOOKUP($E33,Role!$A$2:$O$9,10,0)</f>
        <v>0.75</v>
      </c>
      <c r="AJ33" s="6" t="n">
        <f aca="false">VLOOKUP($F33,Category!$A$2:$AZ$20,19,0)</f>
        <v>0.0909090909090909</v>
      </c>
      <c r="AK33" s="6" t="n">
        <f aca="false">VLOOKUP($F33,Category!$A$2:$AZ$20,21,0)</f>
        <v>0.545454545454545</v>
      </c>
      <c r="AL33" s="6" t="n">
        <f aca="false">1</f>
        <v>1</v>
      </c>
      <c r="AM33" s="6" t="n">
        <f aca="false">VLOOKUP($F33,Category!$A$2:$AZ$20,19,0)</f>
        <v>0.0909090909090909</v>
      </c>
      <c r="AN33" s="6" t="n">
        <f aca="false">VLOOKUP($F33,Category!$A$2:$AZ$20,21,0)</f>
        <v>0.545454545454545</v>
      </c>
      <c r="AO33" s="6" t="n">
        <f aca="false">VLOOKUP($E33,Role!$A$2:$O$9,10,0)</f>
        <v>0.75</v>
      </c>
      <c r="AP33" s="6" t="n">
        <f aca="false">VLOOKUP($F33,Category!$A$2:$AZ$20,9,0)</f>
        <v>0</v>
      </c>
      <c r="AQ33" s="6" t="n">
        <f aca="false">VLOOKUP($F33,Category!$A$2:$AZ$20,11,0)</f>
        <v>0.555555555555556</v>
      </c>
      <c r="AR33" s="6" t="n">
        <f aca="false">VLOOKUP($E33,Role!$A$2:$O$9,10,0)</f>
        <v>0.75</v>
      </c>
      <c r="AS33" s="6" t="n">
        <f aca="false">VLOOKUP($F33,Category!$A$2:$AZ$20,10,0)</f>
        <v>0.555555555555556</v>
      </c>
      <c r="AT33" s="7" t="n">
        <f aca="false">VLOOKUP($F33,Category!$A$2:$AZ$20,14,0)</f>
        <v>0.416666666666667</v>
      </c>
      <c r="AU33" s="7" t="n">
        <f aca="false">VLOOKUP($F33,Category!$A$2:$AZ$20,16,0)</f>
        <v>0.25</v>
      </c>
      <c r="AV33" s="7" t="n">
        <f aca="false">VLOOKUP($D33,Size!$A$2:$Z$13,17,0)</f>
        <v>3</v>
      </c>
      <c r="AW33" s="7" t="n">
        <f aca="false">VLOOKUP($F33,Category!$A$2:$AZ$20,29,0)</f>
        <v>0.333333333333333</v>
      </c>
      <c r="AX33" s="7" t="n">
        <f aca="false">VLOOKUP($F33,Category!$A$2:$AZ$20,31,0)</f>
        <v>0.333333333333333</v>
      </c>
      <c r="AY33" s="7" t="n">
        <f aca="false">VLOOKUP($D33,Size!$A$2:$Z$13,16,0)</f>
        <v>3</v>
      </c>
      <c r="AZ33" s="7" t="n">
        <f aca="false">VLOOKUP($E33,Role!$A$2:$O$9,11,0)</f>
        <v>0.75</v>
      </c>
      <c r="BB33" s="5" t="n">
        <f aca="false">VLOOKUP($D33,Size!$A$2:$Z$13,19,0)</f>
        <v>10</v>
      </c>
      <c r="BC33" s="5" t="n">
        <f aca="false">VLOOKUP($D33,Size!$A$2:$Z$13,20,0)</f>
        <v>1</v>
      </c>
      <c r="BD33" s="5" t="n">
        <f aca="false">VLOOKUP($E33,Role!$A$2:$O$9,13,0)</f>
        <v>0.75</v>
      </c>
      <c r="BE33" s="5" t="n">
        <f aca="false">VLOOKUP($C33,Type!$A$2:$B$4,2,0)</f>
        <v>1</v>
      </c>
    </row>
    <row r="34" customFormat="false" ht="12.8" hidden="false" customHeight="false" outlineLevel="0" collapsed="false">
      <c r="B34" s="2" t="n">
        <v>2</v>
      </c>
      <c r="C34" s="3" t="s">
        <v>51</v>
      </c>
      <c r="D34" s="1" t="s">
        <v>52</v>
      </c>
      <c r="E34" s="1" t="s">
        <v>66</v>
      </c>
      <c r="F34" s="1" t="s">
        <v>67</v>
      </c>
      <c r="G34" s="1" t="s">
        <v>55</v>
      </c>
      <c r="H34" s="4" t="n">
        <f aca="false">VLOOKUP($D34,Size!$A$2:$F$13,6,0)</f>
        <v>1</v>
      </c>
      <c r="J34" s="12" t="n">
        <f aca="false">INT(($B34*$AY34*$AW34*$AZ34)+($B34*$AX34))</f>
        <v>2</v>
      </c>
      <c r="K34" s="4" t="n">
        <f aca="false">ROUND((($B34*$AT34)+($AV34*$AU34)),0)</f>
        <v>2</v>
      </c>
      <c r="L34" s="4" t="n">
        <f aca="false">ROUND((($B34*$AP34)+($B34*$AQ34))*$AR34,0)</f>
        <v>1</v>
      </c>
      <c r="M34" s="4" t="n">
        <f aca="false">ROUND((($B34*$AM34)+($B34*$AN34))*$AO34,0)</f>
        <v>1</v>
      </c>
      <c r="N34" s="4" t="n">
        <f aca="false">ROUND((($B34*$AG34)+($B34*$AH34))*$AI34,0)</f>
        <v>1</v>
      </c>
      <c r="O34" s="4" t="n">
        <f aca="false">ROUND((($B34*$AJ34)+($B34*$AK34))*$AL34,0)</f>
        <v>1</v>
      </c>
      <c r="Q34" s="4" t="n">
        <f aca="false">INT(VLOOKUP($E34,Role!$A$2:$O$9,8,0)*$B34)</f>
        <v>1</v>
      </c>
      <c r="R34" s="4" t="n">
        <f aca="false">INT(VLOOKUP($E34,Role!$A$2:$O$9,9,0)*$B34)</f>
        <v>1</v>
      </c>
      <c r="S34" s="4" t="n">
        <f aca="false">INT(VLOOKUP($E34,Role!$A$2:$P$9,16,0)*$B34*$AS34)</f>
        <v>0</v>
      </c>
      <c r="T34" s="4" t="n">
        <f aca="false">INT(VLOOKUP($D34,Size!$A$2:$Z$13,18,0)*VLOOKUP($E34,Role!$A$2:$O$9,13,0)*$B34/2)</f>
        <v>9</v>
      </c>
      <c r="U34" s="4" t="n">
        <f aca="false">INT(($BB34*$BE34)+($J34*$BC34))</f>
        <v>12</v>
      </c>
      <c r="V34" s="4" t="n">
        <f aca="false">INT((10+$N34)*VLOOKUP($E34,Role!$A$2:$O$9,14,0))</f>
        <v>11</v>
      </c>
      <c r="W34" s="4" t="n">
        <f aca="false">INT($J34*VLOOKUP($E34,Role!$A$2:$O$9,12,0))</f>
        <v>1</v>
      </c>
      <c r="Y34" s="2" t="n">
        <f aca="false">ROUND(MAX($K34,$M34)+(MIN($K34,$M34)*VLOOKUP($E34,Role!$A$2:$O$9,14,0)),0)</f>
        <v>3</v>
      </c>
      <c r="Z34" s="2" t="n">
        <f aca="false">MAX(1,INT(((MIN($J34:$K34)+(MAX($J34:$K34)*$H34*VLOOKUP($E34,Role!$A$2:$O$9,15,0))))*VLOOKUP($G34,Movement!$A$2:$C$7,3,0)))</f>
        <v>4</v>
      </c>
      <c r="AB34" s="5" t="n">
        <f aca="false">INT(5+(($H34-1)/3))</f>
        <v>5</v>
      </c>
      <c r="AC34" s="5" t="n">
        <f aca="false">IF($AB34&lt;$J34,$J34-MAX($AB34,$B34),0)</f>
        <v>0</v>
      </c>
      <c r="AD34" s="5" t="n">
        <f aca="false">(5-ROUND(($H34-1)/3,0))</f>
        <v>5</v>
      </c>
      <c r="AE34" s="5" t="n">
        <f aca="false">IF($AD34&lt;$K34,$K34-MAX($AD34,$B34),0)</f>
        <v>0</v>
      </c>
      <c r="AG34" s="6" t="n">
        <f aca="false">VLOOKUP($F34,Category!$A$2:$AZ$20,24,0)</f>
        <v>0</v>
      </c>
      <c r="AH34" s="6" t="n">
        <f aca="false">VLOOKUP($F34,Category!$A$2:$AZ$20,26,0)</f>
        <v>0.333333333333333</v>
      </c>
      <c r="AI34" s="6" t="n">
        <f aca="false">VLOOKUP($E34,Role!$A$2:$O$9,10,0)</f>
        <v>0.75</v>
      </c>
      <c r="AJ34" s="6" t="n">
        <f aca="false">VLOOKUP($F34,Category!$A$2:$AZ$20,19,0)</f>
        <v>0.0909090909090909</v>
      </c>
      <c r="AK34" s="6" t="n">
        <f aca="false">VLOOKUP($F34,Category!$A$2:$AZ$20,21,0)</f>
        <v>0.545454545454545</v>
      </c>
      <c r="AL34" s="6" t="n">
        <f aca="false">1</f>
        <v>1</v>
      </c>
      <c r="AM34" s="6" t="n">
        <f aca="false">VLOOKUP($F34,Category!$A$2:$AZ$20,19,0)</f>
        <v>0.0909090909090909</v>
      </c>
      <c r="AN34" s="6" t="n">
        <f aca="false">VLOOKUP($F34,Category!$A$2:$AZ$20,21,0)</f>
        <v>0.545454545454545</v>
      </c>
      <c r="AO34" s="6" t="n">
        <f aca="false">VLOOKUP($E34,Role!$A$2:$O$9,10,0)</f>
        <v>0.75</v>
      </c>
      <c r="AP34" s="6" t="n">
        <f aca="false">VLOOKUP($F34,Category!$A$2:$AZ$20,9,0)</f>
        <v>0</v>
      </c>
      <c r="AQ34" s="6" t="n">
        <f aca="false">VLOOKUP($F34,Category!$A$2:$AZ$20,11,0)</f>
        <v>0.555555555555556</v>
      </c>
      <c r="AR34" s="6" t="n">
        <f aca="false">VLOOKUP($E34,Role!$A$2:$O$9,10,0)</f>
        <v>0.75</v>
      </c>
      <c r="AS34" s="6" t="n">
        <f aca="false">VLOOKUP($F34,Category!$A$2:$AZ$20,10,0)</f>
        <v>0.555555555555556</v>
      </c>
      <c r="AT34" s="7" t="n">
        <f aca="false">VLOOKUP($F34,Category!$A$2:$AZ$20,14,0)</f>
        <v>0.416666666666667</v>
      </c>
      <c r="AU34" s="7" t="n">
        <f aca="false">VLOOKUP($F34,Category!$A$2:$AZ$20,16,0)</f>
        <v>0.25</v>
      </c>
      <c r="AV34" s="7" t="n">
        <f aca="false">VLOOKUP($D34,Size!$A$2:$Z$13,17,0)</f>
        <v>3</v>
      </c>
      <c r="AW34" s="7" t="n">
        <f aca="false">VLOOKUP($F34,Category!$A$2:$AZ$20,29,0)</f>
        <v>0.333333333333333</v>
      </c>
      <c r="AX34" s="7" t="n">
        <f aca="false">VLOOKUP($F34,Category!$A$2:$AZ$20,31,0)</f>
        <v>0.333333333333333</v>
      </c>
      <c r="AY34" s="7" t="n">
        <f aca="false">VLOOKUP($D34,Size!$A$2:$Z$13,16,0)</f>
        <v>3</v>
      </c>
      <c r="AZ34" s="7" t="n">
        <f aca="false">VLOOKUP($E34,Role!$A$2:$O$9,11,0)</f>
        <v>0.75</v>
      </c>
      <c r="BB34" s="5" t="n">
        <f aca="false">VLOOKUP($D34,Size!$A$2:$Z$13,19,0)</f>
        <v>10</v>
      </c>
      <c r="BC34" s="5" t="n">
        <f aca="false">VLOOKUP($D34,Size!$A$2:$Z$13,20,0)</f>
        <v>1</v>
      </c>
      <c r="BD34" s="5" t="n">
        <f aca="false">VLOOKUP($E34,Role!$A$2:$O$9,13,0)</f>
        <v>0.75</v>
      </c>
      <c r="BE34" s="5" t="n">
        <f aca="false">VLOOKUP($C34,Type!$A$2:$B$4,2,0)</f>
        <v>1</v>
      </c>
    </row>
    <row r="35" customFormat="false" ht="12.8" hidden="false" customHeight="false" outlineLevel="0" collapsed="false">
      <c r="B35" s="2" t="n">
        <v>2</v>
      </c>
      <c r="C35" s="3" t="s">
        <v>51</v>
      </c>
      <c r="D35" s="1" t="s">
        <v>52</v>
      </c>
      <c r="E35" s="1" t="s">
        <v>66</v>
      </c>
      <c r="F35" s="1" t="s">
        <v>67</v>
      </c>
      <c r="G35" s="1" t="s">
        <v>55</v>
      </c>
      <c r="H35" s="4" t="n">
        <f aca="false">VLOOKUP($D35,Size!$A$2:$F$13,6,0)</f>
        <v>1</v>
      </c>
      <c r="J35" s="12" t="n">
        <f aca="false">INT(($B35*$AY35*$AW35*$AZ35)+($B35*$AX35))</f>
        <v>2</v>
      </c>
      <c r="K35" s="4" t="n">
        <f aca="false">ROUND((($B35*$AT35)+($AV35*$AU35)),0)</f>
        <v>2</v>
      </c>
      <c r="L35" s="4" t="n">
        <f aca="false">ROUND((($B35*$AP35)+($B35*$AQ35))*$AR35,0)</f>
        <v>1</v>
      </c>
      <c r="M35" s="4" t="n">
        <f aca="false">ROUND((($B35*$AM35)+($B35*$AN35))*$AO35,0)</f>
        <v>1</v>
      </c>
      <c r="N35" s="4" t="n">
        <f aca="false">ROUND((($B35*$AG35)+($B35*$AH35))*$AI35,0)</f>
        <v>1</v>
      </c>
      <c r="O35" s="4" t="n">
        <f aca="false">ROUND((($B35*$AJ35)+($B35*$AK35))*$AL35,0)</f>
        <v>1</v>
      </c>
      <c r="Q35" s="4" t="n">
        <f aca="false">INT(VLOOKUP($E35,Role!$A$2:$O$9,8,0)*$B35)</f>
        <v>1</v>
      </c>
      <c r="R35" s="4" t="n">
        <f aca="false">INT(VLOOKUP($E35,Role!$A$2:$O$9,9,0)*$B35)</f>
        <v>1</v>
      </c>
      <c r="S35" s="4" t="n">
        <f aca="false">INT(VLOOKUP($E35,Role!$A$2:$P$9,16,0)*$B35*$AS35)</f>
        <v>0</v>
      </c>
      <c r="T35" s="4" t="n">
        <f aca="false">INT(VLOOKUP($D35,Size!$A$2:$Z$13,18,0)*VLOOKUP($E35,Role!$A$2:$O$9,13,0)*$B35/2)</f>
        <v>9</v>
      </c>
      <c r="U35" s="4" t="n">
        <f aca="false">INT(($BB35*$BE35)+($J35*$BC35))</f>
        <v>12</v>
      </c>
      <c r="V35" s="4" t="n">
        <f aca="false">INT((10+$N35)*VLOOKUP($E35,Role!$A$2:$O$9,14,0))</f>
        <v>11</v>
      </c>
      <c r="W35" s="4" t="n">
        <f aca="false">INT($J35*VLOOKUP($E35,Role!$A$2:$O$9,12,0))</f>
        <v>1</v>
      </c>
      <c r="Y35" s="2" t="n">
        <f aca="false">ROUND(MAX($K35,$M35)+(MIN($K35,$M35)*VLOOKUP($E35,Role!$A$2:$O$9,14,0)),0)</f>
        <v>3</v>
      </c>
      <c r="Z35" s="2" t="n">
        <f aca="false">MAX(1,INT(((MIN($J35:$K35)+(MAX($J35:$K35)*$H35*VLOOKUP($E35,Role!$A$2:$O$9,15,0))))*VLOOKUP($G35,Movement!$A$2:$C$7,3,0)))</f>
        <v>4</v>
      </c>
      <c r="AB35" s="5" t="n">
        <f aca="false">INT(5+(($H35-1)/3))</f>
        <v>5</v>
      </c>
      <c r="AC35" s="5" t="n">
        <f aca="false">IF($AB35&lt;$J35,$J35-MAX($AB35,$B35),0)</f>
        <v>0</v>
      </c>
      <c r="AD35" s="5" t="n">
        <f aca="false">(5-ROUND(($H35-1)/3,0))</f>
        <v>5</v>
      </c>
      <c r="AE35" s="5" t="n">
        <f aca="false">IF($AD35&lt;$K35,$K35-MAX($AD35,$B35),0)</f>
        <v>0</v>
      </c>
      <c r="AG35" s="6" t="n">
        <f aca="false">VLOOKUP($F35,Category!$A$2:$AZ$20,24,0)</f>
        <v>0</v>
      </c>
      <c r="AH35" s="6" t="n">
        <f aca="false">VLOOKUP($F35,Category!$A$2:$AZ$20,26,0)</f>
        <v>0.333333333333333</v>
      </c>
      <c r="AI35" s="6" t="n">
        <f aca="false">VLOOKUP($E35,Role!$A$2:$O$9,10,0)</f>
        <v>0.75</v>
      </c>
      <c r="AJ35" s="6" t="n">
        <f aca="false">VLOOKUP($F35,Category!$A$2:$AZ$20,19,0)</f>
        <v>0.0909090909090909</v>
      </c>
      <c r="AK35" s="6" t="n">
        <f aca="false">VLOOKUP($F35,Category!$A$2:$AZ$20,21,0)</f>
        <v>0.545454545454545</v>
      </c>
      <c r="AL35" s="6" t="n">
        <f aca="false">1</f>
        <v>1</v>
      </c>
      <c r="AM35" s="6" t="n">
        <f aca="false">VLOOKUP($F35,Category!$A$2:$AZ$20,19,0)</f>
        <v>0.0909090909090909</v>
      </c>
      <c r="AN35" s="6" t="n">
        <f aca="false">VLOOKUP($F35,Category!$A$2:$AZ$20,21,0)</f>
        <v>0.545454545454545</v>
      </c>
      <c r="AO35" s="6" t="n">
        <f aca="false">VLOOKUP($E35,Role!$A$2:$O$9,10,0)</f>
        <v>0.75</v>
      </c>
      <c r="AP35" s="6" t="n">
        <f aca="false">VLOOKUP($F35,Category!$A$2:$AZ$20,9,0)</f>
        <v>0</v>
      </c>
      <c r="AQ35" s="6" t="n">
        <f aca="false">VLOOKUP($F35,Category!$A$2:$AZ$20,11,0)</f>
        <v>0.555555555555556</v>
      </c>
      <c r="AR35" s="6" t="n">
        <f aca="false">VLOOKUP($E35,Role!$A$2:$O$9,10,0)</f>
        <v>0.75</v>
      </c>
      <c r="AS35" s="6" t="n">
        <f aca="false">VLOOKUP($F35,Category!$A$2:$AZ$20,10,0)</f>
        <v>0.555555555555556</v>
      </c>
      <c r="AT35" s="7" t="n">
        <f aca="false">VLOOKUP($F35,Category!$A$2:$AZ$20,14,0)</f>
        <v>0.416666666666667</v>
      </c>
      <c r="AU35" s="7" t="n">
        <f aca="false">VLOOKUP($F35,Category!$A$2:$AZ$20,16,0)</f>
        <v>0.25</v>
      </c>
      <c r="AV35" s="7" t="n">
        <f aca="false">VLOOKUP($D35,Size!$A$2:$Z$13,17,0)</f>
        <v>3</v>
      </c>
      <c r="AW35" s="7" t="n">
        <f aca="false">VLOOKUP($F35,Category!$A$2:$AZ$20,29,0)</f>
        <v>0.333333333333333</v>
      </c>
      <c r="AX35" s="7" t="n">
        <f aca="false">VLOOKUP($F35,Category!$A$2:$AZ$20,31,0)</f>
        <v>0.333333333333333</v>
      </c>
      <c r="AY35" s="7" t="n">
        <f aca="false">VLOOKUP($D35,Size!$A$2:$Z$13,16,0)</f>
        <v>3</v>
      </c>
      <c r="AZ35" s="7" t="n">
        <f aca="false">VLOOKUP($E35,Role!$A$2:$O$9,11,0)</f>
        <v>0.75</v>
      </c>
      <c r="BB35" s="5" t="n">
        <f aca="false">VLOOKUP($D35,Size!$A$2:$Z$13,19,0)</f>
        <v>10</v>
      </c>
      <c r="BC35" s="5" t="n">
        <f aca="false">VLOOKUP($D35,Size!$A$2:$Z$13,20,0)</f>
        <v>1</v>
      </c>
      <c r="BD35" s="5" t="n">
        <f aca="false">VLOOKUP($E35,Role!$A$2:$O$9,13,0)</f>
        <v>0.75</v>
      </c>
      <c r="BE35" s="5" t="n">
        <f aca="false">VLOOKUP($C35,Type!$A$2:$B$4,2,0)</f>
        <v>1</v>
      </c>
    </row>
    <row r="36" customFormat="false" ht="12.8" hidden="false" customHeight="false" outlineLevel="0" collapsed="false">
      <c r="B36" s="2" t="n">
        <v>2</v>
      </c>
      <c r="C36" s="3" t="s">
        <v>51</v>
      </c>
      <c r="D36" s="1" t="s">
        <v>52</v>
      </c>
      <c r="E36" s="1" t="s">
        <v>66</v>
      </c>
      <c r="F36" s="1" t="s">
        <v>67</v>
      </c>
      <c r="G36" s="1" t="s">
        <v>55</v>
      </c>
      <c r="H36" s="4" t="n">
        <f aca="false">VLOOKUP($D36,Size!$A$2:$F$13,6,0)</f>
        <v>1</v>
      </c>
      <c r="J36" s="12" t="n">
        <f aca="false">INT(($B36*$AY36*$AW36*$AZ36)+($B36*$AX36))</f>
        <v>2</v>
      </c>
      <c r="K36" s="4" t="n">
        <f aca="false">ROUND((($B36*$AT36)+($AV36*$AU36)),0)</f>
        <v>2</v>
      </c>
      <c r="L36" s="4" t="n">
        <f aca="false">ROUND((($B36*$AP36)+($B36*$AQ36))*$AR36,0)</f>
        <v>1</v>
      </c>
      <c r="M36" s="4" t="n">
        <f aca="false">ROUND((($B36*$AM36)+($B36*$AN36))*$AO36,0)</f>
        <v>1</v>
      </c>
      <c r="N36" s="4" t="n">
        <f aca="false">ROUND((($B36*$AG36)+($B36*$AH36))*$AI36,0)</f>
        <v>1</v>
      </c>
      <c r="O36" s="4" t="n">
        <f aca="false">ROUND((($B36*$AJ36)+($B36*$AK36))*$AL36,0)</f>
        <v>1</v>
      </c>
      <c r="Q36" s="4" t="n">
        <f aca="false">INT(VLOOKUP($E36,Role!$A$2:$O$9,8,0)*$B36)</f>
        <v>1</v>
      </c>
      <c r="R36" s="4" t="n">
        <f aca="false">INT(VLOOKUP($E36,Role!$A$2:$O$9,9,0)*$B36)</f>
        <v>1</v>
      </c>
      <c r="S36" s="4" t="n">
        <f aca="false">INT(VLOOKUP($E36,Role!$A$2:$P$9,16,0)*$B36*$AS36)</f>
        <v>0</v>
      </c>
      <c r="T36" s="4" t="n">
        <f aca="false">INT(VLOOKUP($D36,Size!$A$2:$Z$13,18,0)*VLOOKUP($E36,Role!$A$2:$O$9,13,0)*$B36/2)</f>
        <v>9</v>
      </c>
      <c r="U36" s="4" t="n">
        <f aca="false">INT(($BB36*$BE36)+($J36*$BC36))</f>
        <v>12</v>
      </c>
      <c r="V36" s="4" t="n">
        <f aca="false">INT((10+$N36)*VLOOKUP($E36,Role!$A$2:$O$9,14,0))</f>
        <v>11</v>
      </c>
      <c r="W36" s="4" t="n">
        <f aca="false">INT($J36*VLOOKUP($E36,Role!$A$2:$O$9,12,0))</f>
        <v>1</v>
      </c>
      <c r="Y36" s="2" t="n">
        <f aca="false">ROUND(MAX($K36,$M36)+(MIN($K36,$M36)*VLOOKUP($E36,Role!$A$2:$O$9,14,0)),0)</f>
        <v>3</v>
      </c>
      <c r="Z36" s="2" t="n">
        <f aca="false">MAX(1,INT(((MIN($J36:$K36)+(MAX($J36:$K36)*$H36*VLOOKUP($E36,Role!$A$2:$O$9,15,0))))*VLOOKUP($G36,Movement!$A$2:$C$7,3,0)))</f>
        <v>4</v>
      </c>
      <c r="AB36" s="5" t="n">
        <f aca="false">INT(5+(($H36-1)/3))</f>
        <v>5</v>
      </c>
      <c r="AC36" s="5" t="n">
        <f aca="false">IF($AB36&lt;$J36,$J36-MAX($AB36,$B36),0)</f>
        <v>0</v>
      </c>
      <c r="AD36" s="5" t="n">
        <f aca="false">(5-ROUND(($H36-1)/3,0))</f>
        <v>5</v>
      </c>
      <c r="AE36" s="5" t="n">
        <f aca="false">IF($AD36&lt;$K36,$K36-MAX($AD36,$B36),0)</f>
        <v>0</v>
      </c>
      <c r="AG36" s="6" t="n">
        <f aca="false">VLOOKUP($F36,Category!$A$2:$AZ$20,24,0)</f>
        <v>0</v>
      </c>
      <c r="AH36" s="6" t="n">
        <f aca="false">VLOOKUP($F36,Category!$A$2:$AZ$20,26,0)</f>
        <v>0.333333333333333</v>
      </c>
      <c r="AI36" s="6" t="n">
        <f aca="false">VLOOKUP($E36,Role!$A$2:$O$9,10,0)</f>
        <v>0.75</v>
      </c>
      <c r="AJ36" s="6" t="n">
        <f aca="false">VLOOKUP($F36,Category!$A$2:$AZ$20,19,0)</f>
        <v>0.0909090909090909</v>
      </c>
      <c r="AK36" s="6" t="n">
        <f aca="false">VLOOKUP($F36,Category!$A$2:$AZ$20,21,0)</f>
        <v>0.545454545454545</v>
      </c>
      <c r="AL36" s="6" t="n">
        <f aca="false">1</f>
        <v>1</v>
      </c>
      <c r="AM36" s="6" t="n">
        <f aca="false">VLOOKUP($F36,Category!$A$2:$AZ$20,19,0)</f>
        <v>0.0909090909090909</v>
      </c>
      <c r="AN36" s="6" t="n">
        <f aca="false">VLOOKUP($F36,Category!$A$2:$AZ$20,21,0)</f>
        <v>0.545454545454545</v>
      </c>
      <c r="AO36" s="6" t="n">
        <f aca="false">VLOOKUP($E36,Role!$A$2:$O$9,10,0)</f>
        <v>0.75</v>
      </c>
      <c r="AP36" s="6" t="n">
        <f aca="false">VLOOKUP($F36,Category!$A$2:$AZ$20,9,0)</f>
        <v>0</v>
      </c>
      <c r="AQ36" s="6" t="n">
        <f aca="false">VLOOKUP($F36,Category!$A$2:$AZ$20,11,0)</f>
        <v>0.555555555555556</v>
      </c>
      <c r="AR36" s="6" t="n">
        <f aca="false">VLOOKUP($E36,Role!$A$2:$O$9,10,0)</f>
        <v>0.75</v>
      </c>
      <c r="AS36" s="6" t="n">
        <f aca="false">VLOOKUP($F36,Category!$A$2:$AZ$20,10,0)</f>
        <v>0.555555555555556</v>
      </c>
      <c r="AT36" s="7" t="n">
        <f aca="false">VLOOKUP($F36,Category!$A$2:$AZ$20,14,0)</f>
        <v>0.416666666666667</v>
      </c>
      <c r="AU36" s="7" t="n">
        <f aca="false">VLOOKUP($F36,Category!$A$2:$AZ$20,16,0)</f>
        <v>0.25</v>
      </c>
      <c r="AV36" s="7" t="n">
        <f aca="false">VLOOKUP($D36,Size!$A$2:$Z$13,17,0)</f>
        <v>3</v>
      </c>
      <c r="AW36" s="7" t="n">
        <f aca="false">VLOOKUP($F36,Category!$A$2:$AZ$20,29,0)</f>
        <v>0.333333333333333</v>
      </c>
      <c r="AX36" s="7" t="n">
        <f aca="false">VLOOKUP($F36,Category!$A$2:$AZ$20,31,0)</f>
        <v>0.333333333333333</v>
      </c>
      <c r="AY36" s="7" t="n">
        <f aca="false">VLOOKUP($D36,Size!$A$2:$Z$13,16,0)</f>
        <v>3</v>
      </c>
      <c r="AZ36" s="7" t="n">
        <f aca="false">VLOOKUP($E36,Role!$A$2:$O$9,11,0)</f>
        <v>0.75</v>
      </c>
      <c r="BB36" s="5" t="n">
        <f aca="false">VLOOKUP($D36,Size!$A$2:$Z$13,19,0)</f>
        <v>10</v>
      </c>
      <c r="BC36" s="5" t="n">
        <f aca="false">VLOOKUP($D36,Size!$A$2:$Z$13,20,0)</f>
        <v>1</v>
      </c>
      <c r="BD36" s="5" t="n">
        <f aca="false">VLOOKUP($E36,Role!$A$2:$O$9,13,0)</f>
        <v>0.75</v>
      </c>
      <c r="BE36" s="5" t="n">
        <f aca="false">VLOOKUP($C36,Type!$A$2:$B$4,2,0)</f>
        <v>1</v>
      </c>
    </row>
    <row r="37" customFormat="false" ht="12.8" hidden="false" customHeight="false" outlineLevel="0" collapsed="false">
      <c r="B37" s="2" t="n">
        <v>2</v>
      </c>
      <c r="C37" s="3" t="s">
        <v>51</v>
      </c>
      <c r="D37" s="1" t="s">
        <v>52</v>
      </c>
      <c r="E37" s="1" t="s">
        <v>66</v>
      </c>
      <c r="F37" s="1" t="s">
        <v>77</v>
      </c>
      <c r="G37" s="1" t="s">
        <v>55</v>
      </c>
      <c r="H37" s="4" t="n">
        <f aca="false">VLOOKUP($D37,Size!$A$2:$F$13,6,0)</f>
        <v>1</v>
      </c>
      <c r="J37" s="12" t="n">
        <f aca="false">INT(($B37*$AY37*$AW37*$AZ37)+($B37*$AX37))</f>
        <v>2</v>
      </c>
      <c r="K37" s="4" t="n">
        <f aca="false">ROUND((($B37*$AT37)+($AV37*$AU37)),0)</f>
        <v>1</v>
      </c>
      <c r="L37" s="4" t="n">
        <f aca="false">ROUND((($B37*$AP37)+($B37*$AQ37))*$AR37,0)</f>
        <v>2</v>
      </c>
      <c r="M37" s="4" t="n">
        <f aca="false">ROUND((($B37*$AM37)+($B37*$AN37))*$AO37,0)</f>
        <v>1</v>
      </c>
      <c r="N37" s="4" t="n">
        <f aca="false">ROUND((($B37*$AG37)+($B37*$AH37))*$AI37,0)</f>
        <v>2</v>
      </c>
      <c r="O37" s="4" t="n">
        <f aca="false">ROUND((($B37*$AJ37)+($B37*$AK37))*$AL37,0)</f>
        <v>1</v>
      </c>
      <c r="Q37" s="4" t="n">
        <f aca="false">INT(VLOOKUP($E37,Role!$A$2:$O$9,8,0)*$B37)</f>
        <v>1</v>
      </c>
      <c r="R37" s="4" t="n">
        <f aca="false">INT(VLOOKUP($E37,Role!$A$2:$O$9,9,0)*$B37)</f>
        <v>1</v>
      </c>
      <c r="S37" s="4" t="n">
        <f aca="false">INT(VLOOKUP($E37,Role!$A$2:$P$9,16,0)*$B37*$AS37)</f>
        <v>1</v>
      </c>
      <c r="T37" s="4" t="n">
        <f aca="false">INT(VLOOKUP($D37,Size!$A$2:$Z$13,18,0)*VLOOKUP($E37,Role!$A$2:$O$9,13,0)*$B37/2)</f>
        <v>9</v>
      </c>
      <c r="U37" s="4" t="n">
        <f aca="false">INT(($BB37*$BE37)+($J37*$BC37))</f>
        <v>12</v>
      </c>
      <c r="V37" s="4" t="n">
        <f aca="false">INT((10+$N37)*VLOOKUP($E37,Role!$A$2:$O$9,14,0))</f>
        <v>12</v>
      </c>
      <c r="W37" s="4" t="n">
        <f aca="false">INT($J37*VLOOKUP($E37,Role!$A$2:$O$9,12,0))</f>
        <v>1</v>
      </c>
      <c r="Y37" s="2" t="n">
        <f aca="false">ROUND(MAX($K37,$M37)+(MIN($K37,$M37)*VLOOKUP($E37,Role!$A$2:$O$9,14,0)),0)</f>
        <v>2</v>
      </c>
      <c r="Z37" s="2" t="n">
        <f aca="false">MAX(1,INT(((MIN($J37:$K37)+(MAX($J37:$K37)*$H37*VLOOKUP($E37,Role!$A$2:$O$9,15,0))))*VLOOKUP($G37,Movement!$A$2:$C$7,3,0)))</f>
        <v>3</v>
      </c>
      <c r="AB37" s="5" t="n">
        <f aca="false">INT(5+(($H37-1)/3))</f>
        <v>5</v>
      </c>
      <c r="AC37" s="5" t="n">
        <f aca="false">IF($AB37&lt;$J37,$J37-MAX($AB37,$B37),0)</f>
        <v>0</v>
      </c>
      <c r="AD37" s="5" t="n">
        <f aca="false">(5-ROUND(($H37-1)/3,0))</f>
        <v>5</v>
      </c>
      <c r="AE37" s="5" t="n">
        <f aca="false">IF($AD37&lt;$K37,$K37-MAX($AD37,$B37),0)</f>
        <v>0</v>
      </c>
      <c r="AG37" s="6" t="n">
        <f aca="false">VLOOKUP($F37,Category!$A$2:$AZ$20,24,0)</f>
        <v>0</v>
      </c>
      <c r="AH37" s="6" t="n">
        <f aca="false">VLOOKUP($F37,Category!$A$2:$AZ$20,26,0)</f>
        <v>1.11111111111111</v>
      </c>
      <c r="AI37" s="6" t="n">
        <f aca="false">VLOOKUP($E37,Role!$A$2:$O$9,10,0)</f>
        <v>0.75</v>
      </c>
      <c r="AJ37" s="6" t="n">
        <f aca="false">VLOOKUP($F37,Category!$A$2:$AZ$20,19,0)</f>
        <v>0.363636363636364</v>
      </c>
      <c r="AK37" s="6" t="n">
        <f aca="false">VLOOKUP($F37,Category!$A$2:$AZ$20,21,0)</f>
        <v>0.272727272727273</v>
      </c>
      <c r="AL37" s="6" t="n">
        <f aca="false">1</f>
        <v>1</v>
      </c>
      <c r="AM37" s="6" t="n">
        <f aca="false">VLOOKUP($F37,Category!$A$2:$AZ$20,19,0)</f>
        <v>0.363636363636364</v>
      </c>
      <c r="AN37" s="6" t="n">
        <f aca="false">VLOOKUP($F37,Category!$A$2:$AZ$20,21,0)</f>
        <v>0.272727272727273</v>
      </c>
      <c r="AO37" s="6" t="n">
        <f aca="false">VLOOKUP($E37,Role!$A$2:$O$9,10,0)</f>
        <v>0.75</v>
      </c>
      <c r="AP37" s="6" t="n">
        <f aca="false">VLOOKUP($F37,Category!$A$2:$AZ$20,9,0)</f>
        <v>0.444444444444444</v>
      </c>
      <c r="AQ37" s="6" t="n">
        <f aca="false">VLOOKUP($F37,Category!$A$2:$AZ$20,11,0)</f>
        <v>0.666666666666667</v>
      </c>
      <c r="AR37" s="6" t="n">
        <f aca="false">VLOOKUP($E37,Role!$A$2:$O$9,10,0)</f>
        <v>0.75</v>
      </c>
      <c r="AS37" s="6" t="n">
        <f aca="false">VLOOKUP($F37,Category!$A$2:$AZ$20,10,0)</f>
        <v>1.11111111111111</v>
      </c>
      <c r="AT37" s="7" t="n">
        <f aca="false">VLOOKUP($F37,Category!$A$2:$AZ$20,14,0)</f>
        <v>0.333333333333333</v>
      </c>
      <c r="AU37" s="7" t="n">
        <f aca="false">VLOOKUP($F37,Category!$A$2:$AZ$20,16,0)</f>
        <v>0.25</v>
      </c>
      <c r="AV37" s="7" t="n">
        <f aca="false">VLOOKUP($D37,Size!$A$2:$Z$13,17,0)</f>
        <v>3</v>
      </c>
      <c r="AW37" s="7" t="n">
        <f aca="false">VLOOKUP($F37,Category!$A$2:$AZ$20,29,0)</f>
        <v>0.333333333333333</v>
      </c>
      <c r="AX37" s="7" t="n">
        <f aca="false">VLOOKUP($F37,Category!$A$2:$AZ$20,31,0)</f>
        <v>0.333333333333333</v>
      </c>
      <c r="AY37" s="7" t="n">
        <f aca="false">VLOOKUP($D37,Size!$A$2:$Z$13,16,0)</f>
        <v>3</v>
      </c>
      <c r="AZ37" s="7" t="n">
        <f aca="false">VLOOKUP($E37,Role!$A$2:$O$9,11,0)</f>
        <v>0.75</v>
      </c>
      <c r="BB37" s="5" t="n">
        <f aca="false">VLOOKUP($D37,Size!$A$2:$Z$13,19,0)</f>
        <v>10</v>
      </c>
      <c r="BC37" s="5" t="n">
        <f aca="false">VLOOKUP($D37,Size!$A$2:$Z$13,20,0)</f>
        <v>1</v>
      </c>
      <c r="BD37" s="5" t="n">
        <f aca="false">VLOOKUP($E37,Role!$A$2:$O$9,13,0)</f>
        <v>0.75</v>
      </c>
      <c r="BE37" s="5" t="n">
        <f aca="false">VLOOKUP($C37,Type!$A$2:$B$4,2,0)</f>
        <v>1</v>
      </c>
    </row>
    <row r="38" customFormat="false" ht="12.8" hidden="false" customHeight="false" outlineLevel="0" collapsed="false">
      <c r="B38" s="2" t="n">
        <v>4</v>
      </c>
      <c r="C38" s="3" t="s">
        <v>51</v>
      </c>
      <c r="D38" s="1" t="s">
        <v>65</v>
      </c>
      <c r="E38" s="1" t="s">
        <v>59</v>
      </c>
      <c r="F38" s="1" t="s">
        <v>77</v>
      </c>
      <c r="G38" s="1" t="s">
        <v>55</v>
      </c>
      <c r="H38" s="4" t="n">
        <f aca="false">VLOOKUP($D38,Size!$A$2:$F$13,6,0)</f>
        <v>-3</v>
      </c>
      <c r="J38" s="12" t="n">
        <f aca="false">INT(($B38*$AY38*$AW38*$AZ38)+($B38*$AX38))</f>
        <v>2</v>
      </c>
      <c r="K38" s="4" t="n">
        <f aca="false">ROUND((($B38*$AT38)+($AV38*$AU38)),0)</f>
        <v>2</v>
      </c>
      <c r="L38" s="4" t="n">
        <f aca="false">ROUND((($B38*$AP38)+($B38*$AQ38))*$AR38,0)</f>
        <v>2</v>
      </c>
      <c r="M38" s="4" t="n">
        <f aca="false">ROUND((($B38*$AM38)+($B38*$AN38))*$AO38,0)</f>
        <v>1</v>
      </c>
      <c r="N38" s="4" t="n">
        <f aca="false">ROUND((($B38*$AG38)+($B38*$AH38))*$AI38,0)</f>
        <v>2</v>
      </c>
      <c r="O38" s="4" t="n">
        <f aca="false">ROUND((($B38*$AJ38)+($B38*$AK38))*$AL38,0)</f>
        <v>3</v>
      </c>
      <c r="Q38" s="4" t="n">
        <f aca="false">INT(VLOOKUP($E38,Role!$A$2:$O$9,8,0)*$B38)</f>
        <v>4</v>
      </c>
      <c r="R38" s="4" t="n">
        <f aca="false">INT(VLOOKUP($E38,Role!$A$2:$O$9,9,0)*$B38)</f>
        <v>3</v>
      </c>
      <c r="S38" s="4" t="n">
        <f aca="false">INT(VLOOKUP($E38,Role!$A$2:$P$9,16,0)*$B38*$AS38)</f>
        <v>4</v>
      </c>
      <c r="T38" s="4" t="n">
        <f aca="false">INT(VLOOKUP($D38,Size!$A$2:$Z$13,18,0)*VLOOKUP($E38,Role!$A$2:$O$9,13,0)*$B38/2)</f>
        <v>5</v>
      </c>
      <c r="U38" s="4" t="n">
        <f aca="false">INT(($BB38*$BE38)+($J38*$BC38))</f>
        <v>6</v>
      </c>
      <c r="V38" s="4" t="n">
        <f aca="false">INT((10+$N38)*VLOOKUP($E38,Role!$A$2:$O$9,14,0))</f>
        <v>12</v>
      </c>
      <c r="W38" s="4" t="n">
        <f aca="false">INT($J38*VLOOKUP($E38,Role!$A$2:$O$9,12,0))</f>
        <v>1</v>
      </c>
      <c r="Y38" s="2" t="n">
        <f aca="false">ROUND(MAX($K38,$M38)+(MIN($K38,$M38)*VLOOKUP($E38,Role!$A$2:$O$9,14,0)),0)</f>
        <v>3</v>
      </c>
      <c r="Z38" s="2" t="n">
        <f aca="false">MAX(1,INT(((MIN($J38:$K38)+(MAX($J38:$K38)*$H38*VLOOKUP($E38,Role!$A$2:$O$9,15,0))))*VLOOKUP($G38,Movement!$A$2:$C$7,3,0)))</f>
        <v>1</v>
      </c>
      <c r="AB38" s="5" t="n">
        <f aca="false">INT(5+(($H38-1)/3))</f>
        <v>3</v>
      </c>
      <c r="AC38" s="5" t="n">
        <f aca="false">IF($AB38&lt;$J38,$J38-MAX($AB38,$B38),0)</f>
        <v>0</v>
      </c>
      <c r="AD38" s="5" t="n">
        <f aca="false">(5-ROUND(($H38-1)/3,0))</f>
        <v>6</v>
      </c>
      <c r="AE38" s="5" t="n">
        <f aca="false">IF($AD38&lt;$K38,$K38-MAX($AD38,$B38),0)</f>
        <v>0</v>
      </c>
      <c r="AG38" s="6" t="n">
        <f aca="false">VLOOKUP($F38,Category!$A$2:$AZ$20,24,0)</f>
        <v>0</v>
      </c>
      <c r="AH38" s="6" t="n">
        <f aca="false">VLOOKUP($F38,Category!$A$2:$AZ$20,26,0)</f>
        <v>1.11111111111111</v>
      </c>
      <c r="AI38" s="6" t="n">
        <f aca="false">VLOOKUP($E38,Role!$A$2:$O$9,10,0)</f>
        <v>0.5</v>
      </c>
      <c r="AJ38" s="6" t="n">
        <f aca="false">VLOOKUP($F38,Category!$A$2:$AZ$20,19,0)</f>
        <v>0.363636363636364</v>
      </c>
      <c r="AK38" s="6" t="n">
        <f aca="false">VLOOKUP($F38,Category!$A$2:$AZ$20,21,0)</f>
        <v>0.272727272727273</v>
      </c>
      <c r="AL38" s="6" t="n">
        <f aca="false">1</f>
        <v>1</v>
      </c>
      <c r="AM38" s="6" t="n">
        <f aca="false">VLOOKUP($F38,Category!$A$2:$AZ$20,19,0)</f>
        <v>0.363636363636364</v>
      </c>
      <c r="AN38" s="6" t="n">
        <f aca="false">VLOOKUP($F38,Category!$A$2:$AZ$20,21,0)</f>
        <v>0.272727272727273</v>
      </c>
      <c r="AO38" s="6" t="n">
        <f aca="false">VLOOKUP($E38,Role!$A$2:$O$9,10,0)</f>
        <v>0.5</v>
      </c>
      <c r="AP38" s="6" t="n">
        <f aca="false">VLOOKUP($F38,Category!$A$2:$AZ$20,9,0)</f>
        <v>0.444444444444444</v>
      </c>
      <c r="AQ38" s="6" t="n">
        <f aca="false">VLOOKUP($F38,Category!$A$2:$AZ$20,11,0)</f>
        <v>0.666666666666667</v>
      </c>
      <c r="AR38" s="6" t="n">
        <f aca="false">VLOOKUP($E38,Role!$A$2:$O$9,10,0)</f>
        <v>0.5</v>
      </c>
      <c r="AS38" s="6" t="n">
        <f aca="false">VLOOKUP($F38,Category!$A$2:$AZ$20,10,0)</f>
        <v>1.11111111111111</v>
      </c>
      <c r="AT38" s="7" t="n">
        <f aca="false">VLOOKUP($F38,Category!$A$2:$AZ$20,14,0)</f>
        <v>0.333333333333333</v>
      </c>
      <c r="AU38" s="7" t="n">
        <f aca="false">VLOOKUP($F38,Category!$A$2:$AZ$20,16,0)</f>
        <v>0.25</v>
      </c>
      <c r="AV38" s="7" t="n">
        <f aca="false">VLOOKUP($D38,Size!$A$2:$Z$13,17,0)</f>
        <v>4</v>
      </c>
      <c r="AW38" s="7" t="n">
        <f aca="false">VLOOKUP($F38,Category!$A$2:$AZ$20,29,0)</f>
        <v>0.333333333333333</v>
      </c>
      <c r="AX38" s="7" t="n">
        <f aca="false">VLOOKUP($F38,Category!$A$2:$AZ$20,31,0)</f>
        <v>0.333333333333333</v>
      </c>
      <c r="AY38" s="7" t="n">
        <f aca="false">VLOOKUP($D38,Size!$A$2:$Z$13,16,0)</f>
        <v>1</v>
      </c>
      <c r="AZ38" s="7" t="n">
        <f aca="false">VLOOKUP($E38,Role!$A$2:$O$9,11,0)</f>
        <v>0.75</v>
      </c>
      <c r="BB38" s="5" t="n">
        <f aca="false">VLOOKUP($D38,Size!$A$2:$Z$13,19,0)</f>
        <v>6</v>
      </c>
      <c r="BC38" s="5" t="n">
        <f aca="false">VLOOKUP($D38,Size!$A$2:$Z$13,20,0)</f>
        <v>0.33</v>
      </c>
      <c r="BD38" s="5" t="n">
        <f aca="false">VLOOKUP($E38,Role!$A$2:$O$9,13,0)</f>
        <v>1</v>
      </c>
      <c r="BE38" s="5" t="n">
        <f aca="false">VLOOKUP($C38,Type!$A$2:$B$4,2,0)</f>
        <v>1</v>
      </c>
    </row>
    <row r="39" customFormat="false" ht="12.8" hidden="false" customHeight="false" outlineLevel="0" collapsed="false">
      <c r="B39" s="2" t="n">
        <v>4</v>
      </c>
      <c r="C39" s="3" t="s">
        <v>51</v>
      </c>
      <c r="D39" s="1" t="s">
        <v>68</v>
      </c>
      <c r="E39" s="1" t="s">
        <v>59</v>
      </c>
      <c r="F39" s="1" t="s">
        <v>77</v>
      </c>
      <c r="G39" s="1" t="s">
        <v>55</v>
      </c>
      <c r="H39" s="4" t="n">
        <f aca="false">VLOOKUP($D39,Size!$A$2:$F$13,6,0)</f>
        <v>-2</v>
      </c>
      <c r="J39" s="12" t="n">
        <f aca="false">INT(($B39*$AY39*$AW39*$AZ39)+($B39*$AX39))</f>
        <v>3</v>
      </c>
      <c r="K39" s="4" t="n">
        <f aca="false">ROUND((($B39*$AT39)+($AV39*$AU39)),0)</f>
        <v>2</v>
      </c>
      <c r="L39" s="4" t="n">
        <f aca="false">ROUND((($B39*$AP39)+($B39*$AQ39))*$AR39,0)</f>
        <v>2</v>
      </c>
      <c r="M39" s="4" t="n">
        <f aca="false">ROUND((($B39*$AM39)+($B39*$AN39))*$AO39,0)</f>
        <v>1</v>
      </c>
      <c r="N39" s="4" t="n">
        <f aca="false">ROUND((($B39*$AG39)+($B39*$AH39))*$AI39,0)</f>
        <v>2</v>
      </c>
      <c r="O39" s="4" t="n">
        <f aca="false">ROUND((($B39*$AJ39)+($B39*$AK39))*$AL39,0)</f>
        <v>3</v>
      </c>
      <c r="Q39" s="4" t="n">
        <f aca="false">INT(VLOOKUP($E39,Role!$A$2:$O$9,8,0)*$B39)</f>
        <v>4</v>
      </c>
      <c r="R39" s="4" t="n">
        <f aca="false">INT(VLOOKUP($E39,Role!$A$2:$O$9,9,0)*$B39)</f>
        <v>3</v>
      </c>
      <c r="S39" s="4" t="n">
        <f aca="false">INT(VLOOKUP($E39,Role!$A$2:$P$9,16,0)*$B39*$AS39)</f>
        <v>4</v>
      </c>
      <c r="T39" s="4" t="n">
        <f aca="false">INT(VLOOKUP($D39,Size!$A$2:$Z$13,18,0)*VLOOKUP($E39,Role!$A$2:$O$9,13,0)*$B39/2)</f>
        <v>13</v>
      </c>
      <c r="U39" s="4" t="n">
        <f aca="false">INT(($BB39*$BE39)+($J39*$BC39))</f>
        <v>8</v>
      </c>
      <c r="V39" s="4" t="n">
        <f aca="false">INT((10+$N39)*VLOOKUP($E39,Role!$A$2:$O$9,14,0))</f>
        <v>12</v>
      </c>
      <c r="W39" s="4" t="n">
        <f aca="false">INT($J39*VLOOKUP($E39,Role!$A$2:$O$9,12,0))</f>
        <v>2</v>
      </c>
      <c r="Y39" s="2" t="n">
        <f aca="false">ROUND(MAX($K39,$M39)+(MIN($K39,$M39)*VLOOKUP($E39,Role!$A$2:$O$9,14,0)),0)</f>
        <v>3</v>
      </c>
      <c r="Z39" s="2" t="n">
        <f aca="false">MAX(1,INT(((MIN($J39:$K39)+(MAX($J39:$K39)*$H39*VLOOKUP($E39,Role!$A$2:$O$9,15,0))))*VLOOKUP($G39,Movement!$A$2:$C$7,3,0)))</f>
        <v>1</v>
      </c>
      <c r="AB39" s="5" t="n">
        <f aca="false">INT(5+(($H39-1)/3))</f>
        <v>4</v>
      </c>
      <c r="AC39" s="5" t="n">
        <f aca="false">IF($AB39&lt;$J39,$J39-MAX($AB39,$B39),0)</f>
        <v>0</v>
      </c>
      <c r="AD39" s="5" t="n">
        <f aca="false">(5-ROUND(($H39-1)/3,0))</f>
        <v>6</v>
      </c>
      <c r="AE39" s="5" t="n">
        <f aca="false">IF($AD39&lt;$K39,$K39-MAX($AD39,$B39),0)</f>
        <v>0</v>
      </c>
      <c r="AG39" s="6" t="n">
        <f aca="false">VLOOKUP($F39,Category!$A$2:$AZ$20,24,0)</f>
        <v>0</v>
      </c>
      <c r="AH39" s="6" t="n">
        <f aca="false">VLOOKUP($F39,Category!$A$2:$AZ$20,26,0)</f>
        <v>1.11111111111111</v>
      </c>
      <c r="AI39" s="6" t="n">
        <f aca="false">VLOOKUP($E39,Role!$A$2:$O$9,10,0)</f>
        <v>0.5</v>
      </c>
      <c r="AJ39" s="6" t="n">
        <f aca="false">VLOOKUP($F39,Category!$A$2:$AZ$20,19,0)</f>
        <v>0.363636363636364</v>
      </c>
      <c r="AK39" s="6" t="n">
        <f aca="false">VLOOKUP($F39,Category!$A$2:$AZ$20,21,0)</f>
        <v>0.272727272727273</v>
      </c>
      <c r="AL39" s="6" t="n">
        <f aca="false">1</f>
        <v>1</v>
      </c>
      <c r="AM39" s="6" t="n">
        <f aca="false">VLOOKUP($F39,Category!$A$2:$AZ$20,19,0)</f>
        <v>0.363636363636364</v>
      </c>
      <c r="AN39" s="6" t="n">
        <f aca="false">VLOOKUP($F39,Category!$A$2:$AZ$20,21,0)</f>
        <v>0.272727272727273</v>
      </c>
      <c r="AO39" s="6" t="n">
        <f aca="false">VLOOKUP($E39,Role!$A$2:$O$9,10,0)</f>
        <v>0.5</v>
      </c>
      <c r="AP39" s="6" t="n">
        <f aca="false">VLOOKUP($F39,Category!$A$2:$AZ$20,9,0)</f>
        <v>0.444444444444444</v>
      </c>
      <c r="AQ39" s="6" t="n">
        <f aca="false">VLOOKUP($F39,Category!$A$2:$AZ$20,11,0)</f>
        <v>0.666666666666667</v>
      </c>
      <c r="AR39" s="6" t="n">
        <f aca="false">VLOOKUP($E39,Role!$A$2:$O$9,10,0)</f>
        <v>0.5</v>
      </c>
      <c r="AS39" s="6" t="n">
        <f aca="false">VLOOKUP($F39,Category!$A$2:$AZ$20,10,0)</f>
        <v>1.11111111111111</v>
      </c>
      <c r="AT39" s="7" t="n">
        <f aca="false">VLOOKUP($F39,Category!$A$2:$AZ$20,14,0)</f>
        <v>0.333333333333333</v>
      </c>
      <c r="AU39" s="7" t="n">
        <f aca="false">VLOOKUP($F39,Category!$A$2:$AZ$20,16,0)</f>
        <v>0.25</v>
      </c>
      <c r="AV39" s="7" t="n">
        <f aca="false">VLOOKUP($D39,Size!$A$2:$Z$13,17,0)</f>
        <v>3</v>
      </c>
      <c r="AW39" s="7" t="n">
        <f aca="false">VLOOKUP($F39,Category!$A$2:$AZ$20,29,0)</f>
        <v>0.333333333333333</v>
      </c>
      <c r="AX39" s="7" t="n">
        <f aca="false">VLOOKUP($F39,Category!$A$2:$AZ$20,31,0)</f>
        <v>0.333333333333333</v>
      </c>
      <c r="AY39" s="7" t="n">
        <f aca="false">VLOOKUP($D39,Size!$A$2:$Z$13,16,0)</f>
        <v>2</v>
      </c>
      <c r="AZ39" s="7" t="n">
        <f aca="false">VLOOKUP($E39,Role!$A$2:$O$9,11,0)</f>
        <v>0.75</v>
      </c>
      <c r="BB39" s="5" t="n">
        <f aca="false">VLOOKUP($D39,Size!$A$2:$Z$13,19,0)</f>
        <v>7</v>
      </c>
      <c r="BC39" s="5" t="n">
        <f aca="false">VLOOKUP($D39,Size!$A$2:$Z$13,20,0)</f>
        <v>0.5</v>
      </c>
      <c r="BD39" s="5" t="n">
        <f aca="false">VLOOKUP($E39,Role!$A$2:$O$9,13,0)</f>
        <v>1</v>
      </c>
      <c r="BE39" s="5" t="n">
        <f aca="false">VLOOKUP($C39,Type!$A$2:$B$4,2,0)</f>
        <v>1</v>
      </c>
    </row>
    <row r="40" customFormat="false" ht="12.8" hidden="false" customHeight="false" outlineLevel="0" collapsed="false">
      <c r="B40" s="2" t="n">
        <v>4</v>
      </c>
      <c r="C40" s="3" t="s">
        <v>51</v>
      </c>
      <c r="D40" s="1" t="s">
        <v>69</v>
      </c>
      <c r="E40" s="1" t="s">
        <v>59</v>
      </c>
      <c r="F40" s="1" t="s">
        <v>77</v>
      </c>
      <c r="G40" s="1" t="s">
        <v>55</v>
      </c>
      <c r="H40" s="4" t="n">
        <f aca="false">VLOOKUP($D40,Size!$A$2:$F$13,6,0)</f>
        <v>-1</v>
      </c>
      <c r="J40" s="12" t="n">
        <f aca="false">INT(($B40*$AY40*$AW40*$AZ40)+($B40*$AX40))</f>
        <v>3</v>
      </c>
      <c r="K40" s="4" t="n">
        <f aca="false">ROUND((($B40*$AT40)+($AV40*$AU40)),0)</f>
        <v>2</v>
      </c>
      <c r="L40" s="4" t="n">
        <f aca="false">ROUND((($B40*$AP40)+($B40*$AQ40))*$AR40,0)</f>
        <v>2</v>
      </c>
      <c r="M40" s="4" t="n">
        <f aca="false">ROUND((($B40*$AM40)+($B40*$AN40))*$AO40,0)</f>
        <v>1</v>
      </c>
      <c r="N40" s="4" t="n">
        <f aca="false">ROUND((($B40*$AG40)+($B40*$AH40))*$AI40,0)</f>
        <v>2</v>
      </c>
      <c r="O40" s="4" t="n">
        <f aca="false">ROUND((($B40*$AJ40)+($B40*$AK40))*$AL40,0)</f>
        <v>3</v>
      </c>
      <c r="Q40" s="4" t="n">
        <f aca="false">INT(VLOOKUP($E40,Role!$A$2:$O$9,8,0)*$B40)</f>
        <v>4</v>
      </c>
      <c r="R40" s="4" t="n">
        <f aca="false">INT(VLOOKUP($E40,Role!$A$2:$O$9,9,0)*$B40)</f>
        <v>3</v>
      </c>
      <c r="S40" s="4" t="n">
        <f aca="false">INT(VLOOKUP($E40,Role!$A$2:$P$9,16,0)*$B40*$AS40)</f>
        <v>4</v>
      </c>
      <c r="T40" s="4" t="n">
        <f aca="false">INT(VLOOKUP($D40,Size!$A$2:$Z$13,18,0)*VLOOKUP($E40,Role!$A$2:$O$9,13,0)*$B40/2)</f>
        <v>16</v>
      </c>
      <c r="U40" s="4" t="n">
        <f aca="false">INT(($BB40*$BE40)+($J40*$BC40))</f>
        <v>9</v>
      </c>
      <c r="V40" s="4" t="n">
        <f aca="false">INT((10+$N40)*VLOOKUP($E40,Role!$A$2:$O$9,14,0))</f>
        <v>12</v>
      </c>
      <c r="W40" s="4" t="n">
        <f aca="false">INT($J40*VLOOKUP($E40,Role!$A$2:$O$9,12,0))</f>
        <v>2</v>
      </c>
      <c r="Y40" s="2" t="n">
        <f aca="false">ROUND(MAX($K40,$M40)+(MIN($K40,$M40)*VLOOKUP($E40,Role!$A$2:$O$9,14,0)),0)</f>
        <v>3</v>
      </c>
      <c r="Z40" s="2" t="n">
        <f aca="false">MAX(1,INT(((MIN($J40:$K40)+(MAX($J40:$K40)*$H40*VLOOKUP($E40,Role!$A$2:$O$9,15,0))))*VLOOKUP($G40,Movement!$A$2:$C$7,3,0)))</f>
        <v>1</v>
      </c>
      <c r="AB40" s="5" t="n">
        <f aca="false">INT(5+(($H40-1)/3))</f>
        <v>4</v>
      </c>
      <c r="AC40" s="5" t="n">
        <f aca="false">IF($AB40&lt;$J40,$J40-MAX($AB40,$B40),0)</f>
        <v>0</v>
      </c>
      <c r="AD40" s="5" t="n">
        <f aca="false">(5-ROUND(($H40-1)/3,0))</f>
        <v>6</v>
      </c>
      <c r="AE40" s="5" t="n">
        <f aca="false">IF($AD40&lt;$K40,$K40-MAX($AD40,$B40),0)</f>
        <v>0</v>
      </c>
      <c r="AG40" s="6" t="n">
        <f aca="false">VLOOKUP($F40,Category!$A$2:$AZ$20,24,0)</f>
        <v>0</v>
      </c>
      <c r="AH40" s="6" t="n">
        <f aca="false">VLOOKUP($F40,Category!$A$2:$AZ$20,26,0)</f>
        <v>1.11111111111111</v>
      </c>
      <c r="AI40" s="6" t="n">
        <f aca="false">VLOOKUP($E40,Role!$A$2:$O$9,10,0)</f>
        <v>0.5</v>
      </c>
      <c r="AJ40" s="6" t="n">
        <f aca="false">VLOOKUP($F40,Category!$A$2:$AZ$20,19,0)</f>
        <v>0.363636363636364</v>
      </c>
      <c r="AK40" s="6" t="n">
        <f aca="false">VLOOKUP($F40,Category!$A$2:$AZ$20,21,0)</f>
        <v>0.272727272727273</v>
      </c>
      <c r="AL40" s="6" t="n">
        <f aca="false">1</f>
        <v>1</v>
      </c>
      <c r="AM40" s="6" t="n">
        <f aca="false">VLOOKUP($F40,Category!$A$2:$AZ$20,19,0)</f>
        <v>0.363636363636364</v>
      </c>
      <c r="AN40" s="6" t="n">
        <f aca="false">VLOOKUP($F40,Category!$A$2:$AZ$20,21,0)</f>
        <v>0.272727272727273</v>
      </c>
      <c r="AO40" s="6" t="n">
        <f aca="false">VLOOKUP($E40,Role!$A$2:$O$9,10,0)</f>
        <v>0.5</v>
      </c>
      <c r="AP40" s="6" t="n">
        <f aca="false">VLOOKUP($F40,Category!$A$2:$AZ$20,9,0)</f>
        <v>0.444444444444444</v>
      </c>
      <c r="AQ40" s="6" t="n">
        <f aca="false">VLOOKUP($F40,Category!$A$2:$AZ$20,11,0)</f>
        <v>0.666666666666667</v>
      </c>
      <c r="AR40" s="6" t="n">
        <f aca="false">VLOOKUP($E40,Role!$A$2:$O$9,10,0)</f>
        <v>0.5</v>
      </c>
      <c r="AS40" s="6" t="n">
        <f aca="false">VLOOKUP($F40,Category!$A$2:$AZ$20,10,0)</f>
        <v>1.11111111111111</v>
      </c>
      <c r="AT40" s="7" t="n">
        <f aca="false">VLOOKUP($F40,Category!$A$2:$AZ$20,14,0)</f>
        <v>0.333333333333333</v>
      </c>
      <c r="AU40" s="7" t="n">
        <f aca="false">VLOOKUP($F40,Category!$A$2:$AZ$20,16,0)</f>
        <v>0.25</v>
      </c>
      <c r="AV40" s="7" t="n">
        <f aca="false">VLOOKUP($D40,Size!$A$2:$Z$13,17,0)</f>
        <v>3</v>
      </c>
      <c r="AW40" s="7" t="n">
        <f aca="false">VLOOKUP($F40,Category!$A$2:$AZ$20,29,0)</f>
        <v>0.333333333333333</v>
      </c>
      <c r="AX40" s="7" t="n">
        <f aca="false">VLOOKUP($F40,Category!$A$2:$AZ$20,31,0)</f>
        <v>0.333333333333333</v>
      </c>
      <c r="AY40" s="7" t="n">
        <f aca="false">VLOOKUP($D40,Size!$A$2:$Z$13,16,0)</f>
        <v>2</v>
      </c>
      <c r="AZ40" s="7" t="n">
        <f aca="false">VLOOKUP($E40,Role!$A$2:$O$9,11,0)</f>
        <v>0.75</v>
      </c>
      <c r="BB40" s="5" t="n">
        <f aca="false">VLOOKUP($D40,Size!$A$2:$Z$13,19,0)</f>
        <v>8</v>
      </c>
      <c r="BC40" s="5" t="n">
        <f aca="false">VLOOKUP($D40,Size!$A$2:$Z$13,20,0)</f>
        <v>0.66</v>
      </c>
      <c r="BD40" s="5" t="n">
        <f aca="false">VLOOKUP($E40,Role!$A$2:$O$9,13,0)</f>
        <v>1</v>
      </c>
      <c r="BE40" s="5" t="n">
        <f aca="false">VLOOKUP($C40,Type!$A$2:$B$4,2,0)</f>
        <v>1</v>
      </c>
    </row>
    <row r="41" customFormat="false" ht="12.8" hidden="false" customHeight="false" outlineLevel="0" collapsed="false">
      <c r="B41" s="2" t="n">
        <v>4</v>
      </c>
      <c r="C41" s="3" t="s">
        <v>51</v>
      </c>
      <c r="D41" s="1" t="s">
        <v>70</v>
      </c>
      <c r="E41" s="1" t="s">
        <v>59</v>
      </c>
      <c r="F41" s="1" t="s">
        <v>77</v>
      </c>
      <c r="G41" s="1" t="s">
        <v>55</v>
      </c>
      <c r="H41" s="4" t="n">
        <f aca="false">VLOOKUP($D41,Size!$A$2:$F$13,6,0)</f>
        <v>0</v>
      </c>
      <c r="J41" s="12" t="n">
        <f aca="false">INT(($B41*$AY41*$AW41*$AZ41)+($B41*$AX41))</f>
        <v>3</v>
      </c>
      <c r="K41" s="4" t="n">
        <f aca="false">ROUND((($B41*$AT41)+($AV41*$AU41)),0)</f>
        <v>2</v>
      </c>
      <c r="L41" s="4" t="n">
        <f aca="false">ROUND((($B41*$AP41)+($B41*$AQ41))*$AR41,0)</f>
        <v>2</v>
      </c>
      <c r="M41" s="4" t="n">
        <f aca="false">ROUND((($B41*$AM41)+($B41*$AN41))*$AO41,0)</f>
        <v>1</v>
      </c>
      <c r="N41" s="4" t="n">
        <f aca="false">ROUND((($B41*$AG41)+($B41*$AH41))*$AI41,0)</f>
        <v>2</v>
      </c>
      <c r="O41" s="4" t="n">
        <f aca="false">ROUND((($B41*$AJ41)+($B41*$AK41))*$AL41,0)</f>
        <v>3</v>
      </c>
      <c r="Q41" s="4" t="n">
        <f aca="false">INT(VLOOKUP($E41,Role!$A$2:$O$9,8,0)*$B41)</f>
        <v>4</v>
      </c>
      <c r="R41" s="4" t="n">
        <f aca="false">INT(VLOOKUP($E41,Role!$A$2:$O$9,9,0)*$B41)</f>
        <v>3</v>
      </c>
      <c r="S41" s="4" t="n">
        <f aca="false">INT(VLOOKUP($E41,Role!$A$2:$P$9,16,0)*$B41*$AS41)</f>
        <v>4</v>
      </c>
      <c r="T41" s="4" t="n">
        <f aca="false">INT(VLOOKUP($D41,Size!$A$2:$Z$13,18,0)*VLOOKUP($E41,Role!$A$2:$O$9,13,0)*$B41/2)</f>
        <v>20</v>
      </c>
      <c r="U41" s="4" t="n">
        <f aca="false">INT(($BB41*$BE41)+($J41*$BC41))</f>
        <v>11</v>
      </c>
      <c r="V41" s="4" t="n">
        <f aca="false">INT((10+$N41)*VLOOKUP($E41,Role!$A$2:$O$9,14,0))</f>
        <v>12</v>
      </c>
      <c r="W41" s="4" t="n">
        <f aca="false">INT($J41*VLOOKUP($E41,Role!$A$2:$O$9,12,0))</f>
        <v>2</v>
      </c>
      <c r="Y41" s="2" t="n">
        <f aca="false">ROUND(MAX($K41,$M41)+(MIN($K41,$M41)*VLOOKUP($E41,Role!$A$2:$O$9,14,0)),0)</f>
        <v>3</v>
      </c>
      <c r="Z41" s="2" t="n">
        <f aca="false">MAX(1,INT(((MIN($J41:$K41)+(MAX($J41:$K41)*$H41*VLOOKUP($E41,Role!$A$2:$O$9,15,0))))*VLOOKUP($G41,Movement!$A$2:$C$7,3,0)))</f>
        <v>2</v>
      </c>
      <c r="AB41" s="5" t="n">
        <f aca="false">INT(5+(($H41-1)/3))</f>
        <v>4</v>
      </c>
      <c r="AC41" s="5" t="n">
        <f aca="false">IF($AB41&lt;$J41,$J41-MAX($AB41,$B41),0)</f>
        <v>0</v>
      </c>
      <c r="AD41" s="5" t="n">
        <f aca="false">(5-ROUND(($H41-1)/3,0))</f>
        <v>5</v>
      </c>
      <c r="AE41" s="5" t="n">
        <f aca="false">IF($AD41&lt;$K41,$K41-MAX($AD41,$B41),0)</f>
        <v>0</v>
      </c>
      <c r="AG41" s="6" t="n">
        <f aca="false">VLOOKUP($F41,Category!$A$2:$AZ$20,24,0)</f>
        <v>0</v>
      </c>
      <c r="AH41" s="6" t="n">
        <f aca="false">VLOOKUP($F41,Category!$A$2:$AZ$20,26,0)</f>
        <v>1.11111111111111</v>
      </c>
      <c r="AI41" s="6" t="n">
        <f aca="false">VLOOKUP($E41,Role!$A$2:$O$9,10,0)</f>
        <v>0.5</v>
      </c>
      <c r="AJ41" s="6" t="n">
        <f aca="false">VLOOKUP($F41,Category!$A$2:$AZ$20,19,0)</f>
        <v>0.363636363636364</v>
      </c>
      <c r="AK41" s="6" t="n">
        <f aca="false">VLOOKUP($F41,Category!$A$2:$AZ$20,21,0)</f>
        <v>0.272727272727273</v>
      </c>
      <c r="AL41" s="6" t="n">
        <f aca="false">1</f>
        <v>1</v>
      </c>
      <c r="AM41" s="6" t="n">
        <f aca="false">VLOOKUP($F41,Category!$A$2:$AZ$20,19,0)</f>
        <v>0.363636363636364</v>
      </c>
      <c r="AN41" s="6" t="n">
        <f aca="false">VLOOKUP($F41,Category!$A$2:$AZ$20,21,0)</f>
        <v>0.272727272727273</v>
      </c>
      <c r="AO41" s="6" t="n">
        <f aca="false">VLOOKUP($E41,Role!$A$2:$O$9,10,0)</f>
        <v>0.5</v>
      </c>
      <c r="AP41" s="6" t="n">
        <f aca="false">VLOOKUP($F41,Category!$A$2:$AZ$20,9,0)</f>
        <v>0.444444444444444</v>
      </c>
      <c r="AQ41" s="6" t="n">
        <f aca="false">VLOOKUP($F41,Category!$A$2:$AZ$20,11,0)</f>
        <v>0.666666666666667</v>
      </c>
      <c r="AR41" s="6" t="n">
        <f aca="false">VLOOKUP($E41,Role!$A$2:$O$9,10,0)</f>
        <v>0.5</v>
      </c>
      <c r="AS41" s="6" t="n">
        <f aca="false">VLOOKUP($F41,Category!$A$2:$AZ$20,10,0)</f>
        <v>1.11111111111111</v>
      </c>
      <c r="AT41" s="7" t="n">
        <f aca="false">VLOOKUP($F41,Category!$A$2:$AZ$20,14,0)</f>
        <v>0.333333333333333</v>
      </c>
      <c r="AU41" s="7" t="n">
        <f aca="false">VLOOKUP($F41,Category!$A$2:$AZ$20,16,0)</f>
        <v>0.25</v>
      </c>
      <c r="AV41" s="7" t="n">
        <f aca="false">VLOOKUP($D41,Size!$A$2:$Z$13,17,0)</f>
        <v>3</v>
      </c>
      <c r="AW41" s="7" t="n">
        <f aca="false">VLOOKUP($F41,Category!$A$2:$AZ$20,29,0)</f>
        <v>0.333333333333333</v>
      </c>
      <c r="AX41" s="7" t="n">
        <f aca="false">VLOOKUP($F41,Category!$A$2:$AZ$20,31,0)</f>
        <v>0.333333333333333</v>
      </c>
      <c r="AY41" s="7" t="n">
        <f aca="false">VLOOKUP($D41,Size!$A$2:$Z$13,16,0)</f>
        <v>2</v>
      </c>
      <c r="AZ41" s="7" t="n">
        <f aca="false">VLOOKUP($E41,Role!$A$2:$O$9,11,0)</f>
        <v>0.75</v>
      </c>
      <c r="BB41" s="5" t="n">
        <f aca="false">VLOOKUP($D41,Size!$A$2:$Z$13,19,0)</f>
        <v>9</v>
      </c>
      <c r="BC41" s="5" t="n">
        <f aca="false">VLOOKUP($D41,Size!$A$2:$Z$13,20,0)</f>
        <v>0.75</v>
      </c>
      <c r="BD41" s="5" t="n">
        <f aca="false">VLOOKUP($E41,Role!$A$2:$O$9,13,0)</f>
        <v>1</v>
      </c>
      <c r="BE41" s="5" t="n">
        <f aca="false">VLOOKUP($C41,Type!$A$2:$B$4,2,0)</f>
        <v>1</v>
      </c>
    </row>
    <row r="42" customFormat="false" ht="12.8" hidden="false" customHeight="false" outlineLevel="0" collapsed="false">
      <c r="B42" s="2" t="n">
        <v>4</v>
      </c>
      <c r="C42" s="3" t="s">
        <v>51</v>
      </c>
      <c r="D42" s="1" t="s">
        <v>52</v>
      </c>
      <c r="E42" s="1" t="s">
        <v>59</v>
      </c>
      <c r="F42" s="1" t="s">
        <v>77</v>
      </c>
      <c r="G42" s="1" t="s">
        <v>55</v>
      </c>
      <c r="H42" s="4" t="n">
        <f aca="false">VLOOKUP($D42,Size!$A$2:$F$13,6,0)</f>
        <v>1</v>
      </c>
      <c r="J42" s="12" t="n">
        <f aca="false">INT(($B42*$AY42*$AW42*$AZ42)+($B42*$AX42))</f>
        <v>4</v>
      </c>
      <c r="K42" s="4" t="n">
        <f aca="false">ROUND((($B42*$AT42)+($AV42*$AU42)),0)</f>
        <v>2</v>
      </c>
      <c r="L42" s="4" t="n">
        <f aca="false">ROUND((($B42*$AP42)+($B42*$AQ42))*$AR42,0)</f>
        <v>2</v>
      </c>
      <c r="M42" s="4" t="n">
        <f aca="false">ROUND((($B42*$AM42)+($B42*$AN42))*$AO42,0)</f>
        <v>1</v>
      </c>
      <c r="N42" s="4" t="n">
        <f aca="false">ROUND((($B42*$AG42)+($B42*$AH42))*$AI42,0)</f>
        <v>2</v>
      </c>
      <c r="O42" s="4" t="n">
        <f aca="false">ROUND((($B42*$AJ42)+($B42*$AK42))*$AL42,0)</f>
        <v>3</v>
      </c>
      <c r="Q42" s="4" t="n">
        <f aca="false">INT(VLOOKUP($E42,Role!$A$2:$O$9,8,0)*$B42)</f>
        <v>4</v>
      </c>
      <c r="R42" s="4" t="n">
        <f aca="false">INT(VLOOKUP($E42,Role!$A$2:$O$9,9,0)*$B42)</f>
        <v>3</v>
      </c>
      <c r="S42" s="4" t="n">
        <f aca="false">INT(VLOOKUP($E42,Role!$A$2:$P$9,16,0)*$B42*$AS42)</f>
        <v>4</v>
      </c>
      <c r="T42" s="4" t="n">
        <f aca="false">INT(VLOOKUP($D42,Size!$A$2:$Z$13,18,0)*VLOOKUP($E42,Role!$A$2:$O$9,13,0)*$B42/2)</f>
        <v>26</v>
      </c>
      <c r="U42" s="4" t="n">
        <f aca="false">INT(($BB42*$BE42)+($J42*$BC42))</f>
        <v>14</v>
      </c>
      <c r="V42" s="4" t="n">
        <f aca="false">INT((10+$N42)*VLOOKUP($E42,Role!$A$2:$O$9,14,0))</f>
        <v>12</v>
      </c>
      <c r="W42" s="4" t="n">
        <f aca="false">INT($J42*VLOOKUP($E42,Role!$A$2:$O$9,12,0))</f>
        <v>2</v>
      </c>
      <c r="Y42" s="2" t="n">
        <f aca="false">ROUND(MAX($K42,$M42)+(MIN($K42,$M42)*VLOOKUP($E42,Role!$A$2:$O$9,14,0)),0)</f>
        <v>3</v>
      </c>
      <c r="Z42" s="2" t="n">
        <f aca="false">MAX(1,INT(((MIN($J42:$K42)+(MAX($J42:$K42)*$H42*VLOOKUP($E42,Role!$A$2:$O$9,15,0))))*VLOOKUP($G42,Movement!$A$2:$C$7,3,0)))</f>
        <v>8</v>
      </c>
      <c r="AB42" s="5" t="n">
        <f aca="false">INT(5+(($H42-1)/3))</f>
        <v>5</v>
      </c>
      <c r="AC42" s="5" t="n">
        <f aca="false">IF($AB42&lt;$J42,$J42-MAX($AB42,$B42),0)</f>
        <v>0</v>
      </c>
      <c r="AD42" s="5" t="n">
        <f aca="false">(5-ROUND(($H42-1)/3,0))</f>
        <v>5</v>
      </c>
      <c r="AE42" s="5" t="n">
        <f aca="false">IF($AD42&lt;$K42,$K42-MAX($AD42,$B42),0)</f>
        <v>0</v>
      </c>
      <c r="AG42" s="6" t="n">
        <f aca="false">VLOOKUP($F42,Category!$A$2:$AZ$20,24,0)</f>
        <v>0</v>
      </c>
      <c r="AH42" s="6" t="n">
        <f aca="false">VLOOKUP($F42,Category!$A$2:$AZ$20,26,0)</f>
        <v>1.11111111111111</v>
      </c>
      <c r="AI42" s="6" t="n">
        <f aca="false">VLOOKUP($E42,Role!$A$2:$O$9,10,0)</f>
        <v>0.5</v>
      </c>
      <c r="AJ42" s="6" t="n">
        <f aca="false">VLOOKUP($F42,Category!$A$2:$AZ$20,19,0)</f>
        <v>0.363636363636364</v>
      </c>
      <c r="AK42" s="6" t="n">
        <f aca="false">VLOOKUP($F42,Category!$A$2:$AZ$20,21,0)</f>
        <v>0.272727272727273</v>
      </c>
      <c r="AL42" s="6" t="n">
        <f aca="false">1</f>
        <v>1</v>
      </c>
      <c r="AM42" s="6" t="n">
        <f aca="false">VLOOKUP($F42,Category!$A$2:$AZ$20,19,0)</f>
        <v>0.363636363636364</v>
      </c>
      <c r="AN42" s="6" t="n">
        <f aca="false">VLOOKUP($F42,Category!$A$2:$AZ$20,21,0)</f>
        <v>0.272727272727273</v>
      </c>
      <c r="AO42" s="6" t="n">
        <f aca="false">VLOOKUP($E42,Role!$A$2:$O$9,10,0)</f>
        <v>0.5</v>
      </c>
      <c r="AP42" s="6" t="n">
        <f aca="false">VLOOKUP($F42,Category!$A$2:$AZ$20,9,0)</f>
        <v>0.444444444444444</v>
      </c>
      <c r="AQ42" s="6" t="n">
        <f aca="false">VLOOKUP($F42,Category!$A$2:$AZ$20,11,0)</f>
        <v>0.666666666666667</v>
      </c>
      <c r="AR42" s="6" t="n">
        <f aca="false">VLOOKUP($E42,Role!$A$2:$O$9,10,0)</f>
        <v>0.5</v>
      </c>
      <c r="AS42" s="6" t="n">
        <f aca="false">VLOOKUP($F42,Category!$A$2:$AZ$20,10,0)</f>
        <v>1.11111111111111</v>
      </c>
      <c r="AT42" s="7" t="n">
        <f aca="false">VLOOKUP($F42,Category!$A$2:$AZ$20,14,0)</f>
        <v>0.333333333333333</v>
      </c>
      <c r="AU42" s="7" t="n">
        <f aca="false">VLOOKUP($F42,Category!$A$2:$AZ$20,16,0)</f>
        <v>0.25</v>
      </c>
      <c r="AV42" s="7" t="n">
        <f aca="false">VLOOKUP($D42,Size!$A$2:$Z$13,17,0)</f>
        <v>3</v>
      </c>
      <c r="AW42" s="7" t="n">
        <f aca="false">VLOOKUP($F42,Category!$A$2:$AZ$20,29,0)</f>
        <v>0.333333333333333</v>
      </c>
      <c r="AX42" s="7" t="n">
        <f aca="false">VLOOKUP($F42,Category!$A$2:$AZ$20,31,0)</f>
        <v>0.333333333333333</v>
      </c>
      <c r="AY42" s="7" t="n">
        <f aca="false">VLOOKUP($D42,Size!$A$2:$Z$13,16,0)</f>
        <v>3</v>
      </c>
      <c r="AZ42" s="7" t="n">
        <f aca="false">VLOOKUP($E42,Role!$A$2:$O$9,11,0)</f>
        <v>0.75</v>
      </c>
      <c r="BB42" s="5" t="n">
        <f aca="false">VLOOKUP($D42,Size!$A$2:$Z$13,19,0)</f>
        <v>10</v>
      </c>
      <c r="BC42" s="5" t="n">
        <f aca="false">VLOOKUP($D42,Size!$A$2:$Z$13,20,0)</f>
        <v>1</v>
      </c>
      <c r="BD42" s="5" t="n">
        <f aca="false">VLOOKUP($E42,Role!$A$2:$O$9,13,0)</f>
        <v>1</v>
      </c>
      <c r="BE42" s="5" t="n">
        <f aca="false">VLOOKUP($C42,Type!$A$2:$B$4,2,0)</f>
        <v>1</v>
      </c>
    </row>
    <row r="43" customFormat="false" ht="12.8" hidden="false" customHeight="false" outlineLevel="0" collapsed="false">
      <c r="B43" s="2" t="n">
        <v>4</v>
      </c>
      <c r="C43" s="3" t="s">
        <v>51</v>
      </c>
      <c r="D43" s="1" t="s">
        <v>71</v>
      </c>
      <c r="E43" s="1" t="s">
        <v>59</v>
      </c>
      <c r="F43" s="1" t="s">
        <v>77</v>
      </c>
      <c r="G43" s="1" t="s">
        <v>55</v>
      </c>
      <c r="H43" s="4" t="n">
        <f aca="false">VLOOKUP($D43,Size!$A$2:$F$13,6,0)</f>
        <v>2</v>
      </c>
      <c r="J43" s="12" t="n">
        <f aca="false">INT(($B43*$AY43*$AW43*$AZ43)+($B43*$AX43))</f>
        <v>4</v>
      </c>
      <c r="K43" s="4" t="n">
        <f aca="false">ROUND((($B43*$AT43)+($AV43*$AU43)),0)</f>
        <v>2</v>
      </c>
      <c r="L43" s="4" t="n">
        <f aca="false">ROUND((($B43*$AP43)+($B43*$AQ43))*$AR43,0)</f>
        <v>2</v>
      </c>
      <c r="M43" s="4" t="n">
        <f aca="false">ROUND((($B43*$AM43)+($B43*$AN43))*$AO43,0)</f>
        <v>1</v>
      </c>
      <c r="N43" s="4" t="n">
        <f aca="false">ROUND((($B43*$AG43)+($B43*$AH43))*$AI43,0)</f>
        <v>2</v>
      </c>
      <c r="O43" s="4" t="n">
        <f aca="false">ROUND((($B43*$AJ43)+($B43*$AK43))*$AL43,0)</f>
        <v>3</v>
      </c>
      <c r="Q43" s="4" t="n">
        <f aca="false">INT(VLOOKUP($E43,Role!$A$2:$O$9,8,0)*$B43)</f>
        <v>4</v>
      </c>
      <c r="R43" s="4" t="n">
        <f aca="false">INT(VLOOKUP($E43,Role!$A$2:$O$9,9,0)*$B43)</f>
        <v>3</v>
      </c>
      <c r="S43" s="4" t="n">
        <f aca="false">INT(VLOOKUP($E43,Role!$A$2:$P$9,16,0)*$B43*$AS43)</f>
        <v>4</v>
      </c>
      <c r="T43" s="4" t="n">
        <f aca="false">INT(VLOOKUP($D43,Size!$A$2:$Z$13,18,0)*VLOOKUP($E43,Role!$A$2:$O$9,13,0)*$B43/2)</f>
        <v>32</v>
      </c>
      <c r="U43" s="4" t="n">
        <f aca="false">INT(($BB43*$BE43)+($J43*$BC43))</f>
        <v>20</v>
      </c>
      <c r="V43" s="4" t="n">
        <f aca="false">INT((10+$N43)*VLOOKUP($E43,Role!$A$2:$O$9,14,0))</f>
        <v>12</v>
      </c>
      <c r="W43" s="4" t="n">
        <f aca="false">INT($J43*VLOOKUP($E43,Role!$A$2:$O$9,12,0))</f>
        <v>2</v>
      </c>
      <c r="Y43" s="2" t="n">
        <f aca="false">ROUND(MAX($K43,$M43)+(MIN($K43,$M43)*VLOOKUP($E43,Role!$A$2:$O$9,14,0)),0)</f>
        <v>3</v>
      </c>
      <c r="Z43" s="2" t="n">
        <f aca="false">MAX(1,INT(((MIN($J43:$K43)+(MAX($J43:$K43)*$H43*VLOOKUP($E43,Role!$A$2:$O$9,15,0))))*VLOOKUP($G43,Movement!$A$2:$C$7,3,0)))</f>
        <v>14</v>
      </c>
      <c r="AB43" s="5" t="n">
        <f aca="false">INT(5+(($H43-1)/3))</f>
        <v>5</v>
      </c>
      <c r="AC43" s="5" t="n">
        <f aca="false">IF($AB43&lt;$J43,$J43-MAX($AB43,$B43),0)</f>
        <v>0</v>
      </c>
      <c r="AD43" s="5" t="n">
        <f aca="false">(5-ROUND(($H43-1)/3,0))</f>
        <v>5</v>
      </c>
      <c r="AE43" s="5" t="n">
        <f aca="false">IF($AD43&lt;$K43,$K43-MAX($AD43,$B43),0)</f>
        <v>0</v>
      </c>
      <c r="AG43" s="6" t="n">
        <f aca="false">VLOOKUP($F43,Category!$A$2:$AZ$20,24,0)</f>
        <v>0</v>
      </c>
      <c r="AH43" s="6" t="n">
        <f aca="false">VLOOKUP($F43,Category!$A$2:$AZ$20,26,0)</f>
        <v>1.11111111111111</v>
      </c>
      <c r="AI43" s="6" t="n">
        <f aca="false">VLOOKUP($E43,Role!$A$2:$O$9,10,0)</f>
        <v>0.5</v>
      </c>
      <c r="AJ43" s="6" t="n">
        <f aca="false">VLOOKUP($F43,Category!$A$2:$AZ$20,19,0)</f>
        <v>0.363636363636364</v>
      </c>
      <c r="AK43" s="6" t="n">
        <f aca="false">VLOOKUP($F43,Category!$A$2:$AZ$20,21,0)</f>
        <v>0.272727272727273</v>
      </c>
      <c r="AL43" s="6" t="n">
        <f aca="false">1</f>
        <v>1</v>
      </c>
      <c r="AM43" s="6" t="n">
        <f aca="false">VLOOKUP($F43,Category!$A$2:$AZ$20,19,0)</f>
        <v>0.363636363636364</v>
      </c>
      <c r="AN43" s="6" t="n">
        <f aca="false">VLOOKUP($F43,Category!$A$2:$AZ$20,21,0)</f>
        <v>0.272727272727273</v>
      </c>
      <c r="AO43" s="6" t="n">
        <f aca="false">VLOOKUP($E43,Role!$A$2:$O$9,10,0)</f>
        <v>0.5</v>
      </c>
      <c r="AP43" s="6" t="n">
        <f aca="false">VLOOKUP($F43,Category!$A$2:$AZ$20,9,0)</f>
        <v>0.444444444444444</v>
      </c>
      <c r="AQ43" s="6" t="n">
        <f aca="false">VLOOKUP($F43,Category!$A$2:$AZ$20,11,0)</f>
        <v>0.666666666666667</v>
      </c>
      <c r="AR43" s="6" t="n">
        <f aca="false">VLOOKUP($E43,Role!$A$2:$O$9,10,0)</f>
        <v>0.5</v>
      </c>
      <c r="AS43" s="6" t="n">
        <f aca="false">VLOOKUP($F43,Category!$A$2:$AZ$20,10,0)</f>
        <v>1.11111111111111</v>
      </c>
      <c r="AT43" s="7" t="n">
        <f aca="false">VLOOKUP($F43,Category!$A$2:$AZ$20,14,0)</f>
        <v>0.333333333333333</v>
      </c>
      <c r="AU43" s="7" t="n">
        <f aca="false">VLOOKUP($F43,Category!$A$2:$AZ$20,16,0)</f>
        <v>0.25</v>
      </c>
      <c r="AV43" s="7" t="n">
        <f aca="false">VLOOKUP($D43,Size!$A$2:$Z$13,17,0)</f>
        <v>3</v>
      </c>
      <c r="AW43" s="7" t="n">
        <f aca="false">VLOOKUP($F43,Category!$A$2:$AZ$20,29,0)</f>
        <v>0.333333333333333</v>
      </c>
      <c r="AX43" s="7" t="n">
        <f aca="false">VLOOKUP($F43,Category!$A$2:$AZ$20,31,0)</f>
        <v>0.333333333333333</v>
      </c>
      <c r="AY43" s="7" t="n">
        <f aca="false">VLOOKUP($D43,Size!$A$2:$Z$13,16,0)</f>
        <v>3</v>
      </c>
      <c r="AZ43" s="7" t="n">
        <f aca="false">VLOOKUP($E43,Role!$A$2:$O$9,11,0)</f>
        <v>0.75</v>
      </c>
      <c r="BB43" s="5" t="n">
        <f aca="false">VLOOKUP($D43,Size!$A$2:$Z$13,19,0)</f>
        <v>12</v>
      </c>
      <c r="BC43" s="5" t="n">
        <f aca="false">VLOOKUP($D43,Size!$A$2:$Z$13,20,0)</f>
        <v>2</v>
      </c>
      <c r="BD43" s="5" t="n">
        <f aca="false">VLOOKUP($E43,Role!$A$2:$O$9,13,0)</f>
        <v>1</v>
      </c>
      <c r="BE43" s="5" t="n">
        <f aca="false">VLOOKUP($C43,Type!$A$2:$B$4,2,0)</f>
        <v>1</v>
      </c>
    </row>
    <row r="44" customFormat="false" ht="12.8" hidden="false" customHeight="false" outlineLevel="0" collapsed="false">
      <c r="B44" s="2" t="n">
        <v>4</v>
      </c>
      <c r="C44" s="3" t="s">
        <v>51</v>
      </c>
      <c r="D44" s="1" t="s">
        <v>72</v>
      </c>
      <c r="E44" s="1" t="s">
        <v>59</v>
      </c>
      <c r="F44" s="1" t="s">
        <v>77</v>
      </c>
      <c r="G44" s="1" t="s">
        <v>55</v>
      </c>
      <c r="H44" s="4" t="n">
        <f aca="false">VLOOKUP($D44,Size!$A$2:$F$13,6,0)</f>
        <v>3</v>
      </c>
      <c r="J44" s="12" t="n">
        <f aca="false">INT(($B44*$AY44*$AW44*$AZ44)+($B44*$AX44))</f>
        <v>5</v>
      </c>
      <c r="K44" s="4" t="n">
        <f aca="false">ROUND((($B44*$AT44)+($AV44*$AU44)),0)</f>
        <v>2</v>
      </c>
      <c r="L44" s="4" t="n">
        <f aca="false">ROUND((($B44*$AP44)+($B44*$AQ44))*$AR44,0)</f>
        <v>2</v>
      </c>
      <c r="M44" s="4" t="n">
        <f aca="false">ROUND((($B44*$AM44)+($B44*$AN44))*$AO44,0)</f>
        <v>1</v>
      </c>
      <c r="N44" s="4" t="n">
        <f aca="false">ROUND((($B44*$AG44)+($B44*$AH44))*$AI44,0)</f>
        <v>2</v>
      </c>
      <c r="O44" s="4" t="n">
        <f aca="false">ROUND((($B44*$AJ44)+($B44*$AK44))*$AL44,0)</f>
        <v>3</v>
      </c>
      <c r="Q44" s="4" t="n">
        <f aca="false">INT(VLOOKUP($E44,Role!$A$2:$O$9,8,0)*$B44)</f>
        <v>4</v>
      </c>
      <c r="R44" s="4" t="n">
        <f aca="false">INT(VLOOKUP($E44,Role!$A$2:$O$9,9,0)*$B44)</f>
        <v>3</v>
      </c>
      <c r="S44" s="4" t="n">
        <f aca="false">INT(VLOOKUP($E44,Role!$A$2:$P$9,16,0)*$B44*$AS44)</f>
        <v>4</v>
      </c>
      <c r="T44" s="4" t="n">
        <f aca="false">INT(VLOOKUP($D44,Size!$A$2:$Z$13,18,0)*VLOOKUP($E44,Role!$A$2:$O$9,13,0)*$B44/2)</f>
        <v>43</v>
      </c>
      <c r="U44" s="4" t="n">
        <f aca="false">INT(($BB44*$BE44)+($J44*$BC44))</f>
        <v>34</v>
      </c>
      <c r="V44" s="4" t="n">
        <f aca="false">INT((10+$N44)*VLOOKUP($E44,Role!$A$2:$O$9,14,0))</f>
        <v>12</v>
      </c>
      <c r="W44" s="4" t="n">
        <f aca="false">INT($J44*VLOOKUP($E44,Role!$A$2:$O$9,12,0))</f>
        <v>3</v>
      </c>
      <c r="Y44" s="2" t="n">
        <f aca="false">ROUND(MAX($K44,$M44)+(MIN($K44,$M44)*VLOOKUP($E44,Role!$A$2:$O$9,14,0)),0)</f>
        <v>3</v>
      </c>
      <c r="Z44" s="2" t="n">
        <f aca="false">MAX(1,INT(((MIN($J44:$K44)+(MAX($J44:$K44)*$H44*VLOOKUP($E44,Role!$A$2:$O$9,15,0))))*VLOOKUP($G44,Movement!$A$2:$C$7,3,0)))</f>
        <v>24</v>
      </c>
      <c r="AB44" s="5" t="n">
        <f aca="false">INT(5+(($H44-1)/3))</f>
        <v>5</v>
      </c>
      <c r="AC44" s="5" t="n">
        <f aca="false">IF($AB44&lt;$J44,$J44-MAX($AB44,$B44),0)</f>
        <v>0</v>
      </c>
      <c r="AD44" s="5" t="n">
        <f aca="false">(5-ROUND(($H44-1)/3,0))</f>
        <v>4</v>
      </c>
      <c r="AE44" s="5" t="n">
        <f aca="false">IF($AD44&lt;$K44,$K44-MAX($AD44,$B44),0)</f>
        <v>0</v>
      </c>
      <c r="AG44" s="6" t="n">
        <f aca="false">VLOOKUP($F44,Category!$A$2:$AZ$20,24,0)</f>
        <v>0</v>
      </c>
      <c r="AH44" s="6" t="n">
        <f aca="false">VLOOKUP($F44,Category!$A$2:$AZ$20,26,0)</f>
        <v>1.11111111111111</v>
      </c>
      <c r="AI44" s="6" t="n">
        <f aca="false">VLOOKUP($E44,Role!$A$2:$O$9,10,0)</f>
        <v>0.5</v>
      </c>
      <c r="AJ44" s="6" t="n">
        <f aca="false">VLOOKUP($F44,Category!$A$2:$AZ$20,19,0)</f>
        <v>0.363636363636364</v>
      </c>
      <c r="AK44" s="6" t="n">
        <f aca="false">VLOOKUP($F44,Category!$A$2:$AZ$20,21,0)</f>
        <v>0.272727272727273</v>
      </c>
      <c r="AL44" s="6" t="n">
        <f aca="false">1</f>
        <v>1</v>
      </c>
      <c r="AM44" s="6" t="n">
        <f aca="false">VLOOKUP($F44,Category!$A$2:$AZ$20,19,0)</f>
        <v>0.363636363636364</v>
      </c>
      <c r="AN44" s="6" t="n">
        <f aca="false">VLOOKUP($F44,Category!$A$2:$AZ$20,21,0)</f>
        <v>0.272727272727273</v>
      </c>
      <c r="AO44" s="6" t="n">
        <f aca="false">VLOOKUP($E44,Role!$A$2:$O$9,10,0)</f>
        <v>0.5</v>
      </c>
      <c r="AP44" s="6" t="n">
        <f aca="false">VLOOKUP($F44,Category!$A$2:$AZ$20,9,0)</f>
        <v>0.444444444444444</v>
      </c>
      <c r="AQ44" s="6" t="n">
        <f aca="false">VLOOKUP($F44,Category!$A$2:$AZ$20,11,0)</f>
        <v>0.666666666666667</v>
      </c>
      <c r="AR44" s="6" t="n">
        <f aca="false">VLOOKUP($E44,Role!$A$2:$O$9,10,0)</f>
        <v>0.5</v>
      </c>
      <c r="AS44" s="6" t="n">
        <f aca="false">VLOOKUP($F44,Category!$A$2:$AZ$20,10,0)</f>
        <v>1.11111111111111</v>
      </c>
      <c r="AT44" s="7" t="n">
        <f aca="false">VLOOKUP($F44,Category!$A$2:$AZ$20,14,0)</f>
        <v>0.333333333333333</v>
      </c>
      <c r="AU44" s="7" t="n">
        <f aca="false">VLOOKUP($F44,Category!$A$2:$AZ$20,16,0)</f>
        <v>0.25</v>
      </c>
      <c r="AV44" s="7" t="n">
        <f aca="false">VLOOKUP($D44,Size!$A$2:$Z$13,17,0)</f>
        <v>2</v>
      </c>
      <c r="AW44" s="7" t="n">
        <f aca="false">VLOOKUP($F44,Category!$A$2:$AZ$20,29,0)</f>
        <v>0.333333333333333</v>
      </c>
      <c r="AX44" s="7" t="n">
        <f aca="false">VLOOKUP($F44,Category!$A$2:$AZ$20,31,0)</f>
        <v>0.333333333333333</v>
      </c>
      <c r="AY44" s="7" t="n">
        <f aca="false">VLOOKUP($D44,Size!$A$2:$Z$13,16,0)</f>
        <v>4</v>
      </c>
      <c r="AZ44" s="7" t="n">
        <f aca="false">VLOOKUP($E44,Role!$A$2:$O$9,11,0)</f>
        <v>0.75</v>
      </c>
      <c r="BB44" s="5" t="n">
        <f aca="false">VLOOKUP($D44,Size!$A$2:$Z$13,19,0)</f>
        <v>14</v>
      </c>
      <c r="BC44" s="5" t="n">
        <f aca="false">VLOOKUP($D44,Size!$A$2:$Z$13,20,0)</f>
        <v>4</v>
      </c>
      <c r="BD44" s="5" t="n">
        <f aca="false">VLOOKUP($E44,Role!$A$2:$O$9,13,0)</f>
        <v>1</v>
      </c>
      <c r="BE44" s="5" t="n">
        <f aca="false">VLOOKUP($C44,Type!$A$2:$B$4,2,0)</f>
        <v>1</v>
      </c>
    </row>
    <row r="45" customFormat="false" ht="12.8" hidden="false" customHeight="false" outlineLevel="0" collapsed="false">
      <c r="B45" s="2" t="n">
        <v>4</v>
      </c>
      <c r="C45" s="3" t="s">
        <v>51</v>
      </c>
      <c r="D45" s="1" t="s">
        <v>73</v>
      </c>
      <c r="E45" s="1" t="s">
        <v>59</v>
      </c>
      <c r="F45" s="1" t="s">
        <v>77</v>
      </c>
      <c r="G45" s="1" t="s">
        <v>55</v>
      </c>
      <c r="H45" s="4" t="n">
        <f aca="false">VLOOKUP($D45,Size!$A$2:$F$13,6,0)</f>
        <v>4</v>
      </c>
      <c r="J45" s="12" t="n">
        <f aca="false">INT(($B45*$AY45*$AW45*$AZ45)+($B45*$AX45))</f>
        <v>5</v>
      </c>
      <c r="K45" s="4" t="n">
        <f aca="false">ROUND((($B45*$AT45)+($AV45*$AU45)),0)</f>
        <v>2</v>
      </c>
      <c r="L45" s="4" t="n">
        <f aca="false">ROUND((($B45*$AP45)+($B45*$AQ45))*$AR45,0)</f>
        <v>2</v>
      </c>
      <c r="M45" s="4" t="n">
        <f aca="false">ROUND((($B45*$AM45)+($B45*$AN45))*$AO45,0)</f>
        <v>1</v>
      </c>
      <c r="N45" s="4" t="n">
        <f aca="false">ROUND((($B45*$AG45)+($B45*$AH45))*$AI45,0)</f>
        <v>2</v>
      </c>
      <c r="O45" s="4" t="n">
        <f aca="false">ROUND((($B45*$AJ45)+($B45*$AK45))*$AL45,0)</f>
        <v>3</v>
      </c>
      <c r="Q45" s="4" t="n">
        <f aca="false">INT(VLOOKUP($E45,Role!$A$2:$O$9,8,0)*$B45)</f>
        <v>4</v>
      </c>
      <c r="R45" s="4" t="n">
        <f aca="false">INT(VLOOKUP($E45,Role!$A$2:$O$9,9,0)*$B45)</f>
        <v>3</v>
      </c>
      <c r="S45" s="4" t="n">
        <f aca="false">INT(VLOOKUP($E45,Role!$A$2:$P$9,16,0)*$B45*$AS45)</f>
        <v>4</v>
      </c>
      <c r="T45" s="4" t="n">
        <f aca="false">INT(VLOOKUP($D45,Size!$A$2:$Z$13,18,0)*VLOOKUP($E45,Role!$A$2:$O$9,13,0)*$B45/2)</f>
        <v>50</v>
      </c>
      <c r="U45" s="4" t="n">
        <f aca="false">INT(($BB45*$BE45)+($J45*$BC45))</f>
        <v>46</v>
      </c>
      <c r="V45" s="4" t="n">
        <f aca="false">INT((10+$N45)*VLOOKUP($E45,Role!$A$2:$O$9,14,0))</f>
        <v>12</v>
      </c>
      <c r="W45" s="4" t="n">
        <f aca="false">INT($J45*VLOOKUP($E45,Role!$A$2:$O$9,12,0))</f>
        <v>3</v>
      </c>
      <c r="Y45" s="2" t="n">
        <f aca="false">ROUND(MAX($K45,$M45)+(MIN($K45,$M45)*VLOOKUP($E45,Role!$A$2:$O$9,14,0)),0)</f>
        <v>3</v>
      </c>
      <c r="Z45" s="2" t="n">
        <f aca="false">MAX(1,INT(((MIN($J45:$K45)+(MAX($J45:$K45)*$H45*VLOOKUP($E45,Role!$A$2:$O$9,15,0))))*VLOOKUP($G45,Movement!$A$2:$C$7,3,0)))</f>
        <v>32</v>
      </c>
      <c r="AB45" s="5" t="n">
        <f aca="false">INT(5+(($H45-1)/3))</f>
        <v>6</v>
      </c>
      <c r="AC45" s="5" t="n">
        <f aca="false">IF($AB45&lt;$J45,$J45-MAX($AB45,$B45),0)</f>
        <v>0</v>
      </c>
      <c r="AD45" s="5" t="n">
        <f aca="false">(5-ROUND(($H45-1)/3,0))</f>
        <v>4</v>
      </c>
      <c r="AE45" s="5" t="n">
        <f aca="false">IF($AD45&lt;$K45,$K45-MAX($AD45,$B45),0)</f>
        <v>0</v>
      </c>
      <c r="AG45" s="6" t="n">
        <f aca="false">VLOOKUP($F45,Category!$A$2:$AZ$20,24,0)</f>
        <v>0</v>
      </c>
      <c r="AH45" s="6" t="n">
        <f aca="false">VLOOKUP($F45,Category!$A$2:$AZ$20,26,0)</f>
        <v>1.11111111111111</v>
      </c>
      <c r="AI45" s="6" t="n">
        <f aca="false">VLOOKUP($E45,Role!$A$2:$O$9,10,0)</f>
        <v>0.5</v>
      </c>
      <c r="AJ45" s="6" t="n">
        <f aca="false">VLOOKUP($F45,Category!$A$2:$AZ$20,19,0)</f>
        <v>0.363636363636364</v>
      </c>
      <c r="AK45" s="6" t="n">
        <f aca="false">VLOOKUP($F45,Category!$A$2:$AZ$20,21,0)</f>
        <v>0.272727272727273</v>
      </c>
      <c r="AL45" s="6" t="n">
        <f aca="false">1</f>
        <v>1</v>
      </c>
      <c r="AM45" s="6" t="n">
        <f aca="false">VLOOKUP($F45,Category!$A$2:$AZ$20,19,0)</f>
        <v>0.363636363636364</v>
      </c>
      <c r="AN45" s="6" t="n">
        <f aca="false">VLOOKUP($F45,Category!$A$2:$AZ$20,21,0)</f>
        <v>0.272727272727273</v>
      </c>
      <c r="AO45" s="6" t="n">
        <f aca="false">VLOOKUP($E45,Role!$A$2:$O$9,10,0)</f>
        <v>0.5</v>
      </c>
      <c r="AP45" s="6" t="n">
        <f aca="false">VLOOKUP($F45,Category!$A$2:$AZ$20,9,0)</f>
        <v>0.444444444444444</v>
      </c>
      <c r="AQ45" s="6" t="n">
        <f aca="false">VLOOKUP($F45,Category!$A$2:$AZ$20,11,0)</f>
        <v>0.666666666666667</v>
      </c>
      <c r="AR45" s="6" t="n">
        <f aca="false">VLOOKUP($E45,Role!$A$2:$O$9,10,0)</f>
        <v>0.5</v>
      </c>
      <c r="AS45" s="6" t="n">
        <f aca="false">VLOOKUP($F45,Category!$A$2:$AZ$20,10,0)</f>
        <v>1.11111111111111</v>
      </c>
      <c r="AT45" s="7" t="n">
        <f aca="false">VLOOKUP($F45,Category!$A$2:$AZ$20,14,0)</f>
        <v>0.333333333333333</v>
      </c>
      <c r="AU45" s="7" t="n">
        <f aca="false">VLOOKUP($F45,Category!$A$2:$AZ$20,16,0)</f>
        <v>0.25</v>
      </c>
      <c r="AV45" s="7" t="n">
        <f aca="false">VLOOKUP($D45,Size!$A$2:$Z$13,17,0)</f>
        <v>2</v>
      </c>
      <c r="AW45" s="7" t="n">
        <f aca="false">VLOOKUP($F45,Category!$A$2:$AZ$20,29,0)</f>
        <v>0.333333333333333</v>
      </c>
      <c r="AX45" s="7" t="n">
        <f aca="false">VLOOKUP($F45,Category!$A$2:$AZ$20,31,0)</f>
        <v>0.333333333333333</v>
      </c>
      <c r="AY45" s="7" t="n">
        <f aca="false">VLOOKUP($D45,Size!$A$2:$Z$13,16,0)</f>
        <v>4</v>
      </c>
      <c r="AZ45" s="7" t="n">
        <f aca="false">VLOOKUP($E45,Role!$A$2:$O$9,11,0)</f>
        <v>0.75</v>
      </c>
      <c r="BB45" s="5" t="n">
        <f aca="false">VLOOKUP($D45,Size!$A$2:$Z$13,19,0)</f>
        <v>16</v>
      </c>
      <c r="BC45" s="5" t="n">
        <f aca="false">VLOOKUP($D45,Size!$A$2:$Z$13,20,0)</f>
        <v>6</v>
      </c>
      <c r="BD45" s="5" t="n">
        <f aca="false">VLOOKUP($E45,Role!$A$2:$O$9,13,0)</f>
        <v>1</v>
      </c>
      <c r="BE45" s="5" t="n">
        <f aca="false">VLOOKUP($C45,Type!$A$2:$B$4,2,0)</f>
        <v>1</v>
      </c>
    </row>
    <row r="46" customFormat="false" ht="12.8" hidden="false" customHeight="false" outlineLevel="0" collapsed="false">
      <c r="B46" s="2" t="n">
        <v>4</v>
      </c>
      <c r="C46" s="3" t="s">
        <v>51</v>
      </c>
      <c r="D46" s="1" t="s">
        <v>74</v>
      </c>
      <c r="E46" s="1" t="s">
        <v>59</v>
      </c>
      <c r="F46" s="1" t="s">
        <v>77</v>
      </c>
      <c r="G46" s="1" t="s">
        <v>55</v>
      </c>
      <c r="H46" s="4" t="n">
        <f aca="false">VLOOKUP($D46,Size!$A$2:$F$13,6,0)</f>
        <v>5</v>
      </c>
      <c r="J46" s="12" t="n">
        <f aca="false">INT(($B46*$AY46*$AW46*$AZ46)+($B46*$AX46))</f>
        <v>6</v>
      </c>
      <c r="K46" s="4" t="n">
        <f aca="false">ROUND((($B46*$AT46)+($AV46*$AU46)),0)</f>
        <v>2</v>
      </c>
      <c r="L46" s="4" t="n">
        <f aca="false">ROUND((($B46*$AP46)+($B46*$AQ46))*$AR46,0)</f>
        <v>2</v>
      </c>
      <c r="M46" s="4" t="n">
        <f aca="false">ROUND((($B46*$AM46)+($B46*$AN46))*$AO46,0)</f>
        <v>1</v>
      </c>
      <c r="N46" s="4" t="n">
        <f aca="false">ROUND((($B46*$AG46)+($B46*$AH46))*$AI46,0)</f>
        <v>2</v>
      </c>
      <c r="O46" s="4" t="n">
        <f aca="false">ROUND((($B46*$AJ46)+($B46*$AK46))*$AL46,0)</f>
        <v>3</v>
      </c>
      <c r="Q46" s="4" t="n">
        <f aca="false">INT(VLOOKUP($E46,Role!$A$2:$O$9,8,0)*$B46)</f>
        <v>4</v>
      </c>
      <c r="R46" s="4" t="n">
        <f aca="false">INT(VLOOKUP($E46,Role!$A$2:$O$9,9,0)*$B46)</f>
        <v>3</v>
      </c>
      <c r="S46" s="4" t="n">
        <f aca="false">INT(VLOOKUP($E46,Role!$A$2:$P$9,16,0)*$B46*$AS46)</f>
        <v>4</v>
      </c>
      <c r="T46" s="4" t="n">
        <f aca="false">INT(VLOOKUP($D46,Size!$A$2:$Z$13,18,0)*VLOOKUP($E46,Role!$A$2:$O$9,13,0)*$B46/2)</f>
        <v>62</v>
      </c>
      <c r="U46" s="4" t="n">
        <f aca="false">INT(($BB46*$BE46)+($J46*$BC46))</f>
        <v>66</v>
      </c>
      <c r="V46" s="4" t="n">
        <f aca="false">INT((10+$N46)*VLOOKUP($E46,Role!$A$2:$O$9,14,0))</f>
        <v>12</v>
      </c>
      <c r="W46" s="4" t="n">
        <f aca="false">INT($J46*VLOOKUP($E46,Role!$A$2:$O$9,12,0))</f>
        <v>4</v>
      </c>
      <c r="Y46" s="2" t="n">
        <f aca="false">ROUND(MAX($K46,$M46)+(MIN($K46,$M46)*VLOOKUP($E46,Role!$A$2:$O$9,14,0)),0)</f>
        <v>3</v>
      </c>
      <c r="Z46" s="2" t="n">
        <f aca="false">MAX(1,INT(((MIN($J46:$K46)+(MAX($J46:$K46)*$H46*VLOOKUP($E46,Role!$A$2:$O$9,15,0))))*VLOOKUP($G46,Movement!$A$2:$C$7,3,0)))</f>
        <v>47</v>
      </c>
      <c r="AB46" s="5" t="n">
        <f aca="false">INT(5+(($H46-1)/3))</f>
        <v>6</v>
      </c>
      <c r="AC46" s="5" t="n">
        <f aca="false">IF($AB46&lt;$J46,$J46-MAX($AB46,$B46),0)</f>
        <v>0</v>
      </c>
      <c r="AD46" s="5" t="n">
        <f aca="false">(5-ROUND(($H46-1)/3,0))</f>
        <v>4</v>
      </c>
      <c r="AE46" s="5" t="n">
        <f aca="false">IF($AD46&lt;$K46,$K46-MAX($AD46,$B46),0)</f>
        <v>0</v>
      </c>
      <c r="AG46" s="6" t="n">
        <f aca="false">VLOOKUP($F46,Category!$A$2:$AZ$20,24,0)</f>
        <v>0</v>
      </c>
      <c r="AH46" s="6" t="n">
        <f aca="false">VLOOKUP($F46,Category!$A$2:$AZ$20,26,0)</f>
        <v>1.11111111111111</v>
      </c>
      <c r="AI46" s="6" t="n">
        <f aca="false">VLOOKUP($E46,Role!$A$2:$O$9,10,0)</f>
        <v>0.5</v>
      </c>
      <c r="AJ46" s="6" t="n">
        <f aca="false">VLOOKUP($F46,Category!$A$2:$AZ$20,19,0)</f>
        <v>0.363636363636364</v>
      </c>
      <c r="AK46" s="6" t="n">
        <f aca="false">VLOOKUP($F46,Category!$A$2:$AZ$20,21,0)</f>
        <v>0.272727272727273</v>
      </c>
      <c r="AL46" s="6" t="n">
        <f aca="false">1</f>
        <v>1</v>
      </c>
      <c r="AM46" s="6" t="n">
        <f aca="false">VLOOKUP($F46,Category!$A$2:$AZ$20,19,0)</f>
        <v>0.363636363636364</v>
      </c>
      <c r="AN46" s="6" t="n">
        <f aca="false">VLOOKUP($F46,Category!$A$2:$AZ$20,21,0)</f>
        <v>0.272727272727273</v>
      </c>
      <c r="AO46" s="6" t="n">
        <f aca="false">VLOOKUP($E46,Role!$A$2:$O$9,10,0)</f>
        <v>0.5</v>
      </c>
      <c r="AP46" s="6" t="n">
        <f aca="false">VLOOKUP($F46,Category!$A$2:$AZ$20,9,0)</f>
        <v>0.444444444444444</v>
      </c>
      <c r="AQ46" s="6" t="n">
        <f aca="false">VLOOKUP($F46,Category!$A$2:$AZ$20,11,0)</f>
        <v>0.666666666666667</v>
      </c>
      <c r="AR46" s="6" t="n">
        <f aca="false">VLOOKUP($E46,Role!$A$2:$O$9,10,0)</f>
        <v>0.5</v>
      </c>
      <c r="AS46" s="6" t="n">
        <f aca="false">VLOOKUP($F46,Category!$A$2:$AZ$20,10,0)</f>
        <v>1.11111111111111</v>
      </c>
      <c r="AT46" s="7" t="n">
        <f aca="false">VLOOKUP($F46,Category!$A$2:$AZ$20,14,0)</f>
        <v>0.333333333333333</v>
      </c>
      <c r="AU46" s="7" t="n">
        <f aca="false">VLOOKUP($F46,Category!$A$2:$AZ$20,16,0)</f>
        <v>0.25</v>
      </c>
      <c r="AV46" s="7" t="n">
        <f aca="false">VLOOKUP($D46,Size!$A$2:$Z$13,17,0)</f>
        <v>2</v>
      </c>
      <c r="AW46" s="7" t="n">
        <f aca="false">VLOOKUP($F46,Category!$A$2:$AZ$20,29,0)</f>
        <v>0.333333333333333</v>
      </c>
      <c r="AX46" s="7" t="n">
        <f aca="false">VLOOKUP($F46,Category!$A$2:$AZ$20,31,0)</f>
        <v>0.333333333333333</v>
      </c>
      <c r="AY46" s="7" t="n">
        <f aca="false">VLOOKUP($D46,Size!$A$2:$Z$13,16,0)</f>
        <v>5</v>
      </c>
      <c r="AZ46" s="7" t="n">
        <f aca="false">VLOOKUP($E46,Role!$A$2:$O$9,11,0)</f>
        <v>0.75</v>
      </c>
      <c r="BB46" s="5" t="n">
        <f aca="false">VLOOKUP($D46,Size!$A$2:$Z$13,19,0)</f>
        <v>18</v>
      </c>
      <c r="BC46" s="5" t="n">
        <f aca="false">VLOOKUP($D46,Size!$A$2:$Z$13,20,0)</f>
        <v>8</v>
      </c>
      <c r="BD46" s="5" t="n">
        <f aca="false">VLOOKUP($E46,Role!$A$2:$O$9,13,0)</f>
        <v>1</v>
      </c>
      <c r="BE46" s="5" t="n">
        <f aca="false">VLOOKUP($C46,Type!$A$2:$B$4,2,0)</f>
        <v>1</v>
      </c>
    </row>
    <row r="47" customFormat="false" ht="12.8" hidden="false" customHeight="false" outlineLevel="0" collapsed="false">
      <c r="B47" s="2" t="n">
        <v>4</v>
      </c>
      <c r="C47" s="3" t="s">
        <v>51</v>
      </c>
      <c r="D47" s="1" t="s">
        <v>75</v>
      </c>
      <c r="E47" s="1" t="s">
        <v>59</v>
      </c>
      <c r="F47" s="1" t="s">
        <v>77</v>
      </c>
      <c r="G47" s="1" t="s">
        <v>55</v>
      </c>
      <c r="H47" s="4" t="n">
        <f aca="false">VLOOKUP($D47,Size!$A$2:$F$13,6,0)</f>
        <v>6</v>
      </c>
      <c r="J47" s="12" t="n">
        <f aca="false">INT(($B47*$AY47*$AW47*$AZ47)+($B47*$AX47))</f>
        <v>6</v>
      </c>
      <c r="K47" s="4" t="n">
        <f aca="false">ROUND((($B47*$AT47)+($AV47*$AU47)),0)</f>
        <v>2</v>
      </c>
      <c r="L47" s="4" t="n">
        <f aca="false">ROUND((($B47*$AP47)+($B47*$AQ47))*$AR47,0)</f>
        <v>2</v>
      </c>
      <c r="M47" s="4" t="n">
        <f aca="false">ROUND((($B47*$AM47)+($B47*$AN47))*$AO47,0)</f>
        <v>1</v>
      </c>
      <c r="N47" s="4" t="n">
        <f aca="false">ROUND((($B47*$AG47)+($B47*$AH47))*$AI47,0)</f>
        <v>2</v>
      </c>
      <c r="O47" s="4" t="n">
        <f aca="false">ROUND((($B47*$AJ47)+($B47*$AK47))*$AL47,0)</f>
        <v>3</v>
      </c>
      <c r="Q47" s="4" t="n">
        <f aca="false">INT(VLOOKUP($E47,Role!$A$2:$O$9,8,0)*$B47)</f>
        <v>4</v>
      </c>
      <c r="R47" s="4" t="n">
        <f aca="false">INT(VLOOKUP($E47,Role!$A$2:$O$9,9,0)*$B47)</f>
        <v>3</v>
      </c>
      <c r="S47" s="4" t="n">
        <f aca="false">INT(VLOOKUP($E47,Role!$A$2:$P$9,16,0)*$B47*$AS47)</f>
        <v>4</v>
      </c>
      <c r="T47" s="4" t="n">
        <f aca="false">INT(VLOOKUP($D47,Size!$A$2:$Z$13,18,0)*VLOOKUP($E47,Role!$A$2:$O$9,13,0)*$B47/2)</f>
        <v>77</v>
      </c>
      <c r="U47" s="4" t="n">
        <f aca="false">INT(($BB47*$BE47)+($J47*$BC47))</f>
        <v>80</v>
      </c>
      <c r="V47" s="4" t="n">
        <f aca="false">INT((10+$N47)*VLOOKUP($E47,Role!$A$2:$O$9,14,0))</f>
        <v>12</v>
      </c>
      <c r="W47" s="4" t="n">
        <f aca="false">INT($J47*VLOOKUP($E47,Role!$A$2:$O$9,12,0))</f>
        <v>4</v>
      </c>
      <c r="Y47" s="2" t="n">
        <f aca="false">ROUND(MAX($K47,$M47)+(MIN($K47,$M47)*VLOOKUP($E47,Role!$A$2:$O$9,14,0)),0)</f>
        <v>3</v>
      </c>
      <c r="Z47" s="2" t="n">
        <f aca="false">MAX(1,INT(((MIN($J47:$K47)+(MAX($J47:$K47)*$H47*VLOOKUP($E47,Role!$A$2:$O$9,15,0))))*VLOOKUP($G47,Movement!$A$2:$C$7,3,0)))</f>
        <v>56</v>
      </c>
      <c r="AB47" s="5" t="n">
        <f aca="false">INT(5+(($H47-1)/3))</f>
        <v>6</v>
      </c>
      <c r="AC47" s="5" t="n">
        <f aca="false">IF($AB47&lt;$J47,$J47-MAX($AB47,$B47),0)</f>
        <v>0</v>
      </c>
      <c r="AD47" s="5" t="n">
        <f aca="false">(5-ROUND(($H47-1)/3,0))</f>
        <v>3</v>
      </c>
      <c r="AE47" s="5" t="n">
        <f aca="false">IF($AD47&lt;$K47,$K47-MAX($AD47,$B47),0)</f>
        <v>0</v>
      </c>
      <c r="AG47" s="6" t="n">
        <f aca="false">VLOOKUP($F47,Category!$A$2:$AZ$20,24,0)</f>
        <v>0</v>
      </c>
      <c r="AH47" s="6" t="n">
        <f aca="false">VLOOKUP($F47,Category!$A$2:$AZ$20,26,0)</f>
        <v>1.11111111111111</v>
      </c>
      <c r="AI47" s="6" t="n">
        <f aca="false">VLOOKUP($E47,Role!$A$2:$O$9,10,0)</f>
        <v>0.5</v>
      </c>
      <c r="AJ47" s="6" t="n">
        <f aca="false">VLOOKUP($F47,Category!$A$2:$AZ$20,19,0)</f>
        <v>0.363636363636364</v>
      </c>
      <c r="AK47" s="6" t="n">
        <f aca="false">VLOOKUP($F47,Category!$A$2:$AZ$20,21,0)</f>
        <v>0.272727272727273</v>
      </c>
      <c r="AL47" s="6" t="n">
        <f aca="false">1</f>
        <v>1</v>
      </c>
      <c r="AM47" s="6" t="n">
        <f aca="false">VLOOKUP($F47,Category!$A$2:$AZ$20,19,0)</f>
        <v>0.363636363636364</v>
      </c>
      <c r="AN47" s="6" t="n">
        <f aca="false">VLOOKUP($F47,Category!$A$2:$AZ$20,21,0)</f>
        <v>0.272727272727273</v>
      </c>
      <c r="AO47" s="6" t="n">
        <f aca="false">VLOOKUP($E47,Role!$A$2:$O$9,10,0)</f>
        <v>0.5</v>
      </c>
      <c r="AP47" s="6" t="n">
        <f aca="false">VLOOKUP($F47,Category!$A$2:$AZ$20,9,0)</f>
        <v>0.444444444444444</v>
      </c>
      <c r="AQ47" s="6" t="n">
        <f aca="false">VLOOKUP($F47,Category!$A$2:$AZ$20,11,0)</f>
        <v>0.666666666666667</v>
      </c>
      <c r="AR47" s="6" t="n">
        <f aca="false">VLOOKUP($E47,Role!$A$2:$O$9,10,0)</f>
        <v>0.5</v>
      </c>
      <c r="AS47" s="6" t="n">
        <f aca="false">VLOOKUP($F47,Category!$A$2:$AZ$20,10,0)</f>
        <v>1.11111111111111</v>
      </c>
      <c r="AT47" s="7" t="n">
        <f aca="false">VLOOKUP($F47,Category!$A$2:$AZ$20,14,0)</f>
        <v>0.333333333333333</v>
      </c>
      <c r="AU47" s="7" t="n">
        <f aca="false">VLOOKUP($F47,Category!$A$2:$AZ$20,16,0)</f>
        <v>0.25</v>
      </c>
      <c r="AV47" s="7" t="n">
        <f aca="false">VLOOKUP($D47,Size!$A$2:$Z$13,17,0)</f>
        <v>2</v>
      </c>
      <c r="AW47" s="7" t="n">
        <f aca="false">VLOOKUP($F47,Category!$A$2:$AZ$20,29,0)</f>
        <v>0.333333333333333</v>
      </c>
      <c r="AX47" s="7" t="n">
        <f aca="false">VLOOKUP($F47,Category!$A$2:$AZ$20,31,0)</f>
        <v>0.333333333333333</v>
      </c>
      <c r="AY47" s="7" t="n">
        <f aca="false">VLOOKUP($D47,Size!$A$2:$Z$13,16,0)</f>
        <v>5</v>
      </c>
      <c r="AZ47" s="7" t="n">
        <f aca="false">VLOOKUP($E47,Role!$A$2:$O$9,11,0)</f>
        <v>0.75</v>
      </c>
      <c r="BB47" s="5" t="n">
        <f aca="false">VLOOKUP($D47,Size!$A$2:$Z$13,19,0)</f>
        <v>20</v>
      </c>
      <c r="BC47" s="5" t="n">
        <f aca="false">VLOOKUP($D47,Size!$A$2:$Z$13,20,0)</f>
        <v>10</v>
      </c>
      <c r="BD47" s="5" t="n">
        <f aca="false">VLOOKUP($E47,Role!$A$2:$O$9,13,0)</f>
        <v>1</v>
      </c>
      <c r="BE47" s="5" t="n">
        <f aca="false">VLOOKUP($C47,Type!$A$2:$B$4,2,0)</f>
        <v>1</v>
      </c>
    </row>
    <row r="48" customFormat="false" ht="12.8" hidden="false" customHeight="false" outlineLevel="0" collapsed="false">
      <c r="B48" s="2" t="n">
        <v>4</v>
      </c>
      <c r="C48" s="3" t="s">
        <v>51</v>
      </c>
      <c r="D48" s="1" t="s">
        <v>76</v>
      </c>
      <c r="E48" s="1" t="s">
        <v>59</v>
      </c>
      <c r="F48" s="1" t="s">
        <v>77</v>
      </c>
      <c r="G48" s="1" t="s">
        <v>55</v>
      </c>
      <c r="H48" s="4" t="n">
        <f aca="false">VLOOKUP($D48,Size!$A$2:$F$13,6,0)</f>
        <v>7</v>
      </c>
      <c r="J48" s="12" t="n">
        <f aca="false">INT(($B48*$AY48*$AW48*$AZ48)+($B48*$AX48))</f>
        <v>6</v>
      </c>
      <c r="K48" s="4" t="n">
        <f aca="false">ROUND((($B48*$AT48)+($AV48*$AU48)),0)</f>
        <v>2</v>
      </c>
      <c r="L48" s="4" t="n">
        <f aca="false">ROUND((($B48*$AP48)+($B48*$AQ48))*$AR48,0)</f>
        <v>2</v>
      </c>
      <c r="M48" s="4" t="n">
        <f aca="false">ROUND((($B48*$AM48)+($B48*$AN48))*$AO48,0)</f>
        <v>1</v>
      </c>
      <c r="N48" s="4" t="n">
        <f aca="false">ROUND((($B48*$AG48)+($B48*$AH48))*$AI48,0)</f>
        <v>2</v>
      </c>
      <c r="O48" s="4" t="n">
        <f aca="false">ROUND((($B48*$AJ48)+($B48*$AK48))*$AL48,0)</f>
        <v>3</v>
      </c>
      <c r="Q48" s="4" t="n">
        <f aca="false">INT(VLOOKUP($E48,Role!$A$2:$O$9,8,0)*$B48)</f>
        <v>4</v>
      </c>
      <c r="R48" s="4" t="n">
        <f aca="false">INT(VLOOKUP($E48,Role!$A$2:$O$9,9,0)*$B48)</f>
        <v>3</v>
      </c>
      <c r="S48" s="4" t="n">
        <f aca="false">INT(VLOOKUP($E48,Role!$A$2:$P$9,16,0)*$B48*$AS48)</f>
        <v>4</v>
      </c>
      <c r="T48" s="4" t="n">
        <f aca="false">INT(VLOOKUP($D48,Size!$A$2:$Z$13,18,0)*VLOOKUP($E48,Role!$A$2:$O$9,13,0)*$B48/2)</f>
        <v>92</v>
      </c>
      <c r="U48" s="4" t="n">
        <f aca="false">INT(($BB48*$BE48)+($J48*$BC48))</f>
        <v>94</v>
      </c>
      <c r="V48" s="4" t="n">
        <f aca="false">INT((10+$N48)*VLOOKUP($E48,Role!$A$2:$O$9,14,0))</f>
        <v>12</v>
      </c>
      <c r="W48" s="4" t="n">
        <f aca="false">INT($J48*VLOOKUP($E48,Role!$A$2:$O$9,12,0))</f>
        <v>4</v>
      </c>
      <c r="Y48" s="2" t="n">
        <f aca="false">ROUND(MAX($K48,$M48)+(MIN($K48,$M48)*VLOOKUP($E48,Role!$A$2:$O$9,14,0)),0)</f>
        <v>3</v>
      </c>
      <c r="Z48" s="2" t="n">
        <f aca="false">MAX(1,INT(((MIN($J48:$K48)+(MAX($J48:$K48)*$H48*VLOOKUP($E48,Role!$A$2:$O$9,15,0))))*VLOOKUP($G48,Movement!$A$2:$C$7,3,0)))</f>
        <v>65</v>
      </c>
      <c r="AB48" s="5" t="n">
        <f aca="false">INT(5+(($H48-1)/3))</f>
        <v>7</v>
      </c>
      <c r="AC48" s="5" t="n">
        <f aca="false">IF($AB48&lt;$J48,$J48-MAX($AB48,$B48),0)</f>
        <v>0</v>
      </c>
      <c r="AD48" s="5" t="n">
        <f aca="false">(5-ROUND(($H48-1)/3,0))</f>
        <v>3</v>
      </c>
      <c r="AE48" s="5" t="n">
        <f aca="false">IF($AD48&lt;$K48,$K48-MAX($AD48,$B48),0)</f>
        <v>0</v>
      </c>
      <c r="AG48" s="6" t="n">
        <f aca="false">VLOOKUP($F48,Category!$A$2:$AZ$20,24,0)</f>
        <v>0</v>
      </c>
      <c r="AH48" s="6" t="n">
        <f aca="false">VLOOKUP($F48,Category!$A$2:$AZ$20,26,0)</f>
        <v>1.11111111111111</v>
      </c>
      <c r="AI48" s="6" t="n">
        <f aca="false">VLOOKUP($E48,Role!$A$2:$O$9,10,0)</f>
        <v>0.5</v>
      </c>
      <c r="AJ48" s="6" t="n">
        <f aca="false">VLOOKUP($F48,Category!$A$2:$AZ$20,19,0)</f>
        <v>0.363636363636364</v>
      </c>
      <c r="AK48" s="6" t="n">
        <f aca="false">VLOOKUP($F48,Category!$A$2:$AZ$20,21,0)</f>
        <v>0.272727272727273</v>
      </c>
      <c r="AL48" s="6" t="n">
        <f aca="false">1</f>
        <v>1</v>
      </c>
      <c r="AM48" s="6" t="n">
        <f aca="false">VLOOKUP($F48,Category!$A$2:$AZ$20,19,0)</f>
        <v>0.363636363636364</v>
      </c>
      <c r="AN48" s="6" t="n">
        <f aca="false">VLOOKUP($F48,Category!$A$2:$AZ$20,21,0)</f>
        <v>0.272727272727273</v>
      </c>
      <c r="AO48" s="6" t="n">
        <f aca="false">VLOOKUP($E48,Role!$A$2:$O$9,10,0)</f>
        <v>0.5</v>
      </c>
      <c r="AP48" s="6" t="n">
        <f aca="false">VLOOKUP($F48,Category!$A$2:$AZ$20,9,0)</f>
        <v>0.444444444444444</v>
      </c>
      <c r="AQ48" s="6" t="n">
        <f aca="false">VLOOKUP($F48,Category!$A$2:$AZ$20,11,0)</f>
        <v>0.666666666666667</v>
      </c>
      <c r="AR48" s="6" t="n">
        <f aca="false">VLOOKUP($E48,Role!$A$2:$O$9,10,0)</f>
        <v>0.5</v>
      </c>
      <c r="AS48" s="6" t="n">
        <f aca="false">VLOOKUP($F48,Category!$A$2:$AZ$20,10,0)</f>
        <v>1.11111111111111</v>
      </c>
      <c r="AT48" s="7" t="n">
        <f aca="false">VLOOKUP($F48,Category!$A$2:$AZ$20,14,0)</f>
        <v>0.333333333333333</v>
      </c>
      <c r="AU48" s="7" t="n">
        <f aca="false">VLOOKUP($F48,Category!$A$2:$AZ$20,16,0)</f>
        <v>0.25</v>
      </c>
      <c r="AV48" s="7" t="n">
        <f aca="false">VLOOKUP($D48,Size!$A$2:$Z$13,17,0)</f>
        <v>2</v>
      </c>
      <c r="AW48" s="7" t="n">
        <f aca="false">VLOOKUP($F48,Category!$A$2:$AZ$20,29,0)</f>
        <v>0.333333333333333</v>
      </c>
      <c r="AX48" s="7" t="n">
        <f aca="false">VLOOKUP($F48,Category!$A$2:$AZ$20,31,0)</f>
        <v>0.333333333333333</v>
      </c>
      <c r="AY48" s="7" t="n">
        <f aca="false">VLOOKUP($D48,Size!$A$2:$Z$13,16,0)</f>
        <v>5</v>
      </c>
      <c r="AZ48" s="7" t="n">
        <f aca="false">VLOOKUP($E48,Role!$A$2:$O$9,11,0)</f>
        <v>0.75</v>
      </c>
      <c r="BB48" s="5" t="n">
        <f aca="false">VLOOKUP($D48,Size!$A$2:$Z$13,19,0)</f>
        <v>22</v>
      </c>
      <c r="BC48" s="5" t="n">
        <f aca="false">VLOOKUP($D48,Size!$A$2:$Z$13,20,0)</f>
        <v>12</v>
      </c>
      <c r="BD48" s="5" t="n">
        <f aca="false">VLOOKUP($E48,Role!$A$2:$O$9,13,0)</f>
        <v>1</v>
      </c>
      <c r="BE48" s="5" t="n">
        <f aca="false">VLOOKUP($C48,Type!$A$2:$B$4,2,0)</f>
        <v>1</v>
      </c>
    </row>
    <row r="49" customFormat="false" ht="12.8" hidden="false" customHeight="false" outlineLevel="0" collapsed="false">
      <c r="B49" s="2" t="n">
        <v>4</v>
      </c>
      <c r="C49" s="3" t="s">
        <v>51</v>
      </c>
      <c r="D49" s="1" t="s">
        <v>78</v>
      </c>
      <c r="E49" s="1" t="s">
        <v>59</v>
      </c>
      <c r="F49" s="1" t="s">
        <v>77</v>
      </c>
      <c r="G49" s="1" t="s">
        <v>55</v>
      </c>
      <c r="H49" s="4" t="n">
        <f aca="false">VLOOKUP($D49,Size!$A$2:$F$13,6,0)</f>
        <v>8</v>
      </c>
      <c r="J49" s="12" t="n">
        <f aca="false">INT(($B49*$AY49*$AW49*$AZ49)+($B49*$AX49))</f>
        <v>7</v>
      </c>
      <c r="K49" s="4" t="n">
        <f aca="false">ROUND((($B49*$AT49)+($AV49*$AU49)),0)</f>
        <v>2</v>
      </c>
      <c r="L49" s="4" t="n">
        <f aca="false">ROUND((($B49*$AP49)+($B49*$AQ49))*$AR49,0)</f>
        <v>2</v>
      </c>
      <c r="M49" s="4" t="n">
        <f aca="false">ROUND((($B49*$AM49)+($B49*$AN49))*$AO49,0)</f>
        <v>1</v>
      </c>
      <c r="N49" s="4" t="n">
        <f aca="false">ROUND((($B49*$AG49)+($B49*$AH49))*$AI49,0)</f>
        <v>2</v>
      </c>
      <c r="O49" s="4" t="n">
        <f aca="false">ROUND((($B49*$AJ49)+($B49*$AK49))*$AL49,0)</f>
        <v>3</v>
      </c>
      <c r="Q49" s="4" t="n">
        <f aca="false">INT(VLOOKUP($E49,Role!$A$2:$O$9,8,0)*$B49)</f>
        <v>4</v>
      </c>
      <c r="R49" s="4" t="n">
        <f aca="false">INT(VLOOKUP($E49,Role!$A$2:$O$9,9,0)*$B49)</f>
        <v>3</v>
      </c>
      <c r="S49" s="4" t="n">
        <f aca="false">INT(VLOOKUP($E49,Role!$A$2:$P$9,16,0)*$B49*$AS49)</f>
        <v>4</v>
      </c>
      <c r="T49" s="4" t="n">
        <f aca="false">INT(VLOOKUP($D49,Size!$A$2:$Z$13,18,0)*VLOOKUP($E49,Role!$A$2:$O$9,13,0)*$B49/2)</f>
        <v>111</v>
      </c>
      <c r="U49" s="4" t="n">
        <f aca="false">INT(($BB49*$BE49)+($J49*$BC49))</f>
        <v>122</v>
      </c>
      <c r="V49" s="4" t="n">
        <f aca="false">INT((10+$N49)*VLOOKUP($E49,Role!$A$2:$O$9,14,0))</f>
        <v>12</v>
      </c>
      <c r="W49" s="4" t="n">
        <f aca="false">INT($J49*VLOOKUP($E49,Role!$A$2:$O$9,12,0))</f>
        <v>4</v>
      </c>
      <c r="Y49" s="2" t="n">
        <f aca="false">ROUND(MAX($K49,$M49)+(MIN($K49,$M49)*VLOOKUP($E49,Role!$A$2:$O$9,14,0)),0)</f>
        <v>3</v>
      </c>
      <c r="Z49" s="2" t="n">
        <f aca="false">MAX(1,INT(((MIN($J49:$K49)+(MAX($J49:$K49)*$H49*VLOOKUP($E49,Role!$A$2:$O$9,15,0))))*VLOOKUP($G49,Movement!$A$2:$C$7,3,0)))</f>
        <v>86</v>
      </c>
      <c r="AB49" s="5" t="n">
        <f aca="false">INT(5+(($H49-1)/3))</f>
        <v>7</v>
      </c>
      <c r="AC49" s="5" t="n">
        <f aca="false">IF($AB49&lt;$J49,$J49-MAX($AB49,$B49),0)</f>
        <v>0</v>
      </c>
      <c r="AD49" s="5" t="n">
        <f aca="false">(5-ROUND(($H49-1)/3,0))</f>
        <v>3</v>
      </c>
      <c r="AE49" s="5" t="n">
        <f aca="false">IF($AD49&lt;$K49,$K49-MAX($AD49,$B49),0)</f>
        <v>0</v>
      </c>
      <c r="AG49" s="6" t="n">
        <f aca="false">VLOOKUP($F49,Category!$A$2:$AZ$20,24,0)</f>
        <v>0</v>
      </c>
      <c r="AH49" s="6" t="n">
        <f aca="false">VLOOKUP($F49,Category!$A$2:$AZ$20,26,0)</f>
        <v>1.11111111111111</v>
      </c>
      <c r="AI49" s="6" t="n">
        <f aca="false">VLOOKUP($E49,Role!$A$2:$O$9,10,0)</f>
        <v>0.5</v>
      </c>
      <c r="AJ49" s="6" t="n">
        <f aca="false">VLOOKUP($F49,Category!$A$2:$AZ$20,19,0)</f>
        <v>0.363636363636364</v>
      </c>
      <c r="AK49" s="6" t="n">
        <f aca="false">VLOOKUP($F49,Category!$A$2:$AZ$20,21,0)</f>
        <v>0.272727272727273</v>
      </c>
      <c r="AL49" s="6" t="n">
        <f aca="false">1</f>
        <v>1</v>
      </c>
      <c r="AM49" s="6" t="n">
        <f aca="false">VLOOKUP($F49,Category!$A$2:$AZ$20,19,0)</f>
        <v>0.363636363636364</v>
      </c>
      <c r="AN49" s="6" t="n">
        <f aca="false">VLOOKUP($F49,Category!$A$2:$AZ$20,21,0)</f>
        <v>0.272727272727273</v>
      </c>
      <c r="AO49" s="6" t="n">
        <f aca="false">VLOOKUP($E49,Role!$A$2:$O$9,10,0)</f>
        <v>0.5</v>
      </c>
      <c r="AP49" s="6" t="n">
        <f aca="false">VLOOKUP($F49,Category!$A$2:$AZ$20,9,0)</f>
        <v>0.444444444444444</v>
      </c>
      <c r="AQ49" s="6" t="n">
        <f aca="false">VLOOKUP($F49,Category!$A$2:$AZ$20,11,0)</f>
        <v>0.666666666666667</v>
      </c>
      <c r="AR49" s="6" t="n">
        <f aca="false">VLOOKUP($E49,Role!$A$2:$O$9,10,0)</f>
        <v>0.5</v>
      </c>
      <c r="AS49" s="6" t="n">
        <f aca="false">VLOOKUP($F49,Category!$A$2:$AZ$20,10,0)</f>
        <v>1.11111111111111</v>
      </c>
      <c r="AT49" s="7" t="n">
        <f aca="false">VLOOKUP($F49,Category!$A$2:$AZ$20,14,0)</f>
        <v>0.333333333333333</v>
      </c>
      <c r="AU49" s="7" t="n">
        <f aca="false">VLOOKUP($F49,Category!$A$2:$AZ$20,16,0)</f>
        <v>0.25</v>
      </c>
      <c r="AV49" s="7" t="n">
        <f aca="false">VLOOKUP($D49,Size!$A$2:$Z$13,17,0)</f>
        <v>1</v>
      </c>
      <c r="AW49" s="7" t="n">
        <f aca="false">VLOOKUP($F49,Category!$A$2:$AZ$20,29,0)</f>
        <v>0.333333333333333</v>
      </c>
      <c r="AX49" s="7" t="n">
        <f aca="false">VLOOKUP($F49,Category!$A$2:$AZ$20,31,0)</f>
        <v>0.333333333333333</v>
      </c>
      <c r="AY49" s="7" t="n">
        <f aca="false">VLOOKUP($D49,Size!$A$2:$Z$13,16,0)</f>
        <v>6</v>
      </c>
      <c r="AZ49" s="7" t="n">
        <f aca="false">VLOOKUP($E49,Role!$A$2:$O$9,11,0)</f>
        <v>0.75</v>
      </c>
      <c r="BB49" s="5" t="n">
        <f aca="false">VLOOKUP($D49,Size!$A$2:$Z$13,19,0)</f>
        <v>24</v>
      </c>
      <c r="BC49" s="5" t="n">
        <f aca="false">VLOOKUP($D49,Size!$A$2:$Z$13,20,0)</f>
        <v>14</v>
      </c>
      <c r="BD49" s="5" t="n">
        <f aca="false">VLOOKUP($E49,Role!$A$2:$O$9,13,0)</f>
        <v>1</v>
      </c>
      <c r="BE49" s="5" t="n">
        <f aca="false">VLOOKUP($C49,Type!$A$2:$B$4,2,0)</f>
        <v>1</v>
      </c>
    </row>
    <row r="50" customFormat="false" ht="12.8" hidden="false" customHeight="false" outlineLevel="0" collapsed="false">
      <c r="C50" s="3" t="s">
        <v>51</v>
      </c>
      <c r="J50" s="12" t="e">
        <f aca="false">INT(($B50*$AY50*$AW50*$AZ50)+($B50*$AX50))</f>
        <v>#N/A</v>
      </c>
      <c r="K50" s="4" t="e">
        <f aca="false">ROUND((($B50*$AT50)+($AV50*$AU50)),0)</f>
        <v>#N/A</v>
      </c>
      <c r="L50" s="4" t="e">
        <f aca="false">ROUND((($B50*$AP50)+($B50*$AQ50))*$AR50,0)</f>
        <v>#N/A</v>
      </c>
      <c r="M50" s="4" t="e">
        <f aca="false">ROUND((($B50*$AM50)+($B50*$AN50))*$AO50,0)</f>
        <v>#N/A</v>
      </c>
      <c r="N50" s="4" t="e">
        <f aca="false">ROUND((($B50*$AG50)+($B50*$AH50))*$AI50,0)</f>
        <v>#N/A</v>
      </c>
      <c r="O50" s="4" t="e">
        <f aca="false">ROUND((($B50*$AJ50)+($B50*$AK50))*$AL50,0)</f>
        <v>#N/A</v>
      </c>
      <c r="S50" s="4" t="e">
        <f aca="false">INT(VLOOKUP($E50,Role!$A$2:$P$9,16,0)*$B50*$AS50)</f>
        <v>#N/A</v>
      </c>
      <c r="U50" s="4" t="e">
        <f aca="false">INT(($BB50*$BE50)+($J50*$BC50))</f>
        <v>#N/A</v>
      </c>
      <c r="AC50" s="5" t="e">
        <f aca="false">IF($AB50&lt;$J50,$J50-MAX($AB50,$B50),0)</f>
        <v>#N/A</v>
      </c>
      <c r="AE50" s="5" t="e">
        <f aca="false">IF($AD50&lt;$K50,$K50-MAX($AD50,$B50),0)</f>
        <v>#N/A</v>
      </c>
      <c r="AG50" s="6" t="e">
        <f aca="false">VLOOKUP($F50,Category!$A$2:$AZ$20,24,0)</f>
        <v>#N/A</v>
      </c>
      <c r="AH50" s="6" t="e">
        <f aca="false">VLOOKUP($F50,Category!$A$2:$AZ$20,26,0)</f>
        <v>#N/A</v>
      </c>
      <c r="AI50" s="6" t="e">
        <f aca="false">VLOOKUP($E50,Role!$A$2:$O$9,10,0)</f>
        <v>#N/A</v>
      </c>
      <c r="AJ50" s="6" t="e">
        <f aca="false">VLOOKUP($F50,Category!$A$2:$AZ$20,19,0)</f>
        <v>#N/A</v>
      </c>
      <c r="AK50" s="6" t="e">
        <f aca="false">VLOOKUP($F50,Category!$A$2:$AZ$20,21,0)</f>
        <v>#N/A</v>
      </c>
      <c r="AL50" s="6" t="n">
        <f aca="false">1</f>
        <v>1</v>
      </c>
      <c r="AM50" s="6" t="e">
        <f aca="false">VLOOKUP($F50,Category!$A$2:$AZ$20,19,0)</f>
        <v>#N/A</v>
      </c>
      <c r="AN50" s="6" t="e">
        <f aca="false">VLOOKUP($F50,Category!$A$2:$AZ$20,21,0)</f>
        <v>#N/A</v>
      </c>
      <c r="AO50" s="6" t="e">
        <f aca="false">VLOOKUP($E50,Role!$A$2:$O$9,10,0)</f>
        <v>#N/A</v>
      </c>
      <c r="AP50" s="6" t="e">
        <f aca="false">VLOOKUP($F50,Category!$A$2:$AZ$20,9,0)</f>
        <v>#N/A</v>
      </c>
      <c r="AQ50" s="6" t="e">
        <f aca="false">VLOOKUP($F50,Category!$A$2:$AZ$20,11,0)</f>
        <v>#N/A</v>
      </c>
      <c r="AR50" s="6" t="e">
        <f aca="false">VLOOKUP($E50,Role!$A$2:$O$9,10,0)</f>
        <v>#N/A</v>
      </c>
      <c r="AS50" s="6" t="e">
        <f aca="false">VLOOKUP($F50,Category!$A$2:$AZ$20,10,0)</f>
        <v>#N/A</v>
      </c>
      <c r="AT50" s="7" t="e">
        <f aca="false">VLOOKUP($F50,Category!$A$2:$AZ$20,14,0)</f>
        <v>#N/A</v>
      </c>
      <c r="AU50" s="7" t="e">
        <f aca="false">VLOOKUP($F50,Category!$A$2:$AZ$20,16,0)</f>
        <v>#N/A</v>
      </c>
      <c r="AV50" s="7" t="e">
        <f aca="false">VLOOKUP($D50,Size!$A$2:$Z$13,17,0)</f>
        <v>#N/A</v>
      </c>
      <c r="AW50" s="7" t="e">
        <f aca="false">VLOOKUP($F50,Category!$A$2:$AZ$20,29,0)</f>
        <v>#N/A</v>
      </c>
      <c r="AX50" s="7" t="e">
        <f aca="false">VLOOKUP($F50,Category!$A$2:$AZ$20,31,0)</f>
        <v>#N/A</v>
      </c>
      <c r="AY50" s="7" t="e">
        <f aca="false">VLOOKUP($D50,Size!$A$2:$Z$13,16,0)</f>
        <v>#N/A</v>
      </c>
      <c r="AZ50" s="7" t="e">
        <f aca="false">VLOOKUP($E50,Role!$A$2:$O$9,11,0)</f>
        <v>#N/A</v>
      </c>
      <c r="BB50" s="5" t="e">
        <f aca="false">VLOOKUP($D50,Size!$A$2:$Z$13,19,0)</f>
        <v>#N/A</v>
      </c>
      <c r="BC50" s="5" t="e">
        <f aca="false">VLOOKUP($D50,Size!$A$2:$Z$13,20,0)</f>
        <v>#N/A</v>
      </c>
      <c r="BD50" s="5" t="e">
        <f aca="false">VLOOKUP($E50,Role!$A$2:$O$9,13,0)</f>
        <v>#N/A</v>
      </c>
      <c r="BE50" s="5" t="n">
        <f aca="false">VLOOKUP($C50,Type!$A$2:$B$4,2,0)</f>
        <v>1</v>
      </c>
    </row>
    <row r="51" customFormat="false" ht="12.8" hidden="false" customHeight="false" outlineLevel="0" collapsed="false">
      <c r="B51" s="2" t="n">
        <v>1</v>
      </c>
      <c r="C51" s="3" t="s">
        <v>51</v>
      </c>
      <c r="D51" s="1" t="s">
        <v>65</v>
      </c>
      <c r="E51" s="1" t="s">
        <v>66</v>
      </c>
      <c r="F51" s="1" t="s">
        <v>67</v>
      </c>
      <c r="G51" s="1" t="s">
        <v>79</v>
      </c>
      <c r="H51" s="4" t="n">
        <f aca="false">VLOOKUP($D51,Size!$A$2:$F$13,6,0)</f>
        <v>-3</v>
      </c>
      <c r="J51" s="12" t="n">
        <f aca="false">INT(($B51*$AY51*$AW51*$AZ51)+($B51*$AX51))</f>
        <v>0</v>
      </c>
      <c r="K51" s="4" t="n">
        <f aca="false">ROUND((($B51*$AT51)+($AV51*$AU51)),0)</f>
        <v>1</v>
      </c>
      <c r="L51" s="4" t="n">
        <f aca="false">ROUND((($B51*$AP51)+($B51*$AQ51))*$AR51,0)</f>
        <v>0</v>
      </c>
      <c r="M51" s="4" t="n">
        <f aca="false">ROUND((($B51*$AM51)+($B51*$AN51))*$AO51,0)</f>
        <v>0</v>
      </c>
      <c r="N51" s="4" t="n">
        <f aca="false">ROUND((($B51*$AG51)+($B51*$AH51))*$AI51,0)</f>
        <v>0</v>
      </c>
      <c r="O51" s="4" t="n">
        <f aca="false">ROUND((($B51*$AJ51)+($B51*$AK51))*$AL51,0)</f>
        <v>1</v>
      </c>
      <c r="Q51" s="4" t="n">
        <f aca="false">INT(VLOOKUP($E51,Role!$A$2:$O$9,8,0)*$B51)</f>
        <v>0</v>
      </c>
      <c r="R51" s="4" t="n">
        <f aca="false">INT(VLOOKUP($E51,Role!$A$2:$O$9,9,0)*$B51)</f>
        <v>0</v>
      </c>
      <c r="S51" s="4" t="n">
        <f aca="false">INT(VLOOKUP($E51,Role!$A$2:$P$9,16,0)*$B51*$AS51)</f>
        <v>0</v>
      </c>
      <c r="T51" s="4" t="n">
        <f aca="false">INT(VLOOKUP($D51,Size!$A$2:$Z$13,18,0)*VLOOKUP($E51,Role!$A$2:$O$9,13,0)*$B51/2)</f>
        <v>1</v>
      </c>
      <c r="U51" s="4" t="n">
        <f aca="false">INT(($BB51*$BE51)+($J51*$BC51))</f>
        <v>6</v>
      </c>
      <c r="V51" s="4" t="n">
        <f aca="false">INT((10+$N51)*VLOOKUP($E51,Role!$A$2:$O$9,14,0))</f>
        <v>10</v>
      </c>
      <c r="W51" s="4" t="n">
        <f aca="false">INT($J51*VLOOKUP($E51,Role!$A$2:$O$9,12,0))</f>
        <v>0</v>
      </c>
      <c r="Y51" s="2" t="n">
        <f aca="false">ROUND(MAX($K51,$M51)+(MIN($K51,$M51)*VLOOKUP($E51,Role!$A$2:$O$9,14,0)),0)</f>
        <v>1</v>
      </c>
      <c r="Z51" s="2" t="n">
        <f aca="false">MAX(1,INT(((MIN($J51:$K51)+(MAX($J51:$K51)*$H51*VLOOKUP($E51,Role!$A$2:$O$9,15,0))))*VLOOKUP($G51,Movement!$A$2:$C$7,3,0)))</f>
        <v>1</v>
      </c>
      <c r="AB51" s="5" t="n">
        <f aca="false">INT(5+(($H51-1)/3))</f>
        <v>3</v>
      </c>
      <c r="AC51" s="5" t="n">
        <f aca="false">IF($AB51&lt;$J51,$J51-MAX($AB51,$B51),0)</f>
        <v>0</v>
      </c>
      <c r="AD51" s="5" t="n">
        <f aca="false">(5-ROUND(($H51-1)/3,0))</f>
        <v>6</v>
      </c>
      <c r="AE51" s="5" t="n">
        <f aca="false">IF($AD51&lt;$K51,$K51-MAX($AD51,$B51),0)</f>
        <v>0</v>
      </c>
      <c r="AG51" s="6" t="n">
        <f aca="false">VLOOKUP($F51,Category!$A$2:$AZ$20,24,0)</f>
        <v>0</v>
      </c>
      <c r="AH51" s="6" t="n">
        <f aca="false">VLOOKUP($F51,Category!$A$2:$AZ$20,26,0)</f>
        <v>0.333333333333333</v>
      </c>
      <c r="AI51" s="6" t="n">
        <f aca="false">VLOOKUP($E51,Role!$A$2:$O$9,10,0)</f>
        <v>0.75</v>
      </c>
      <c r="AJ51" s="6" t="n">
        <f aca="false">VLOOKUP($F51,Category!$A$2:$AZ$20,19,0)</f>
        <v>0.0909090909090909</v>
      </c>
      <c r="AK51" s="6" t="n">
        <f aca="false">VLOOKUP($F51,Category!$A$2:$AZ$20,21,0)</f>
        <v>0.545454545454545</v>
      </c>
      <c r="AL51" s="6" t="n">
        <f aca="false">1</f>
        <v>1</v>
      </c>
      <c r="AM51" s="6" t="n">
        <f aca="false">VLOOKUP($F51,Category!$A$2:$AZ$20,19,0)</f>
        <v>0.0909090909090909</v>
      </c>
      <c r="AN51" s="6" t="n">
        <f aca="false">VLOOKUP($F51,Category!$A$2:$AZ$20,21,0)</f>
        <v>0.545454545454545</v>
      </c>
      <c r="AO51" s="6" t="n">
        <f aca="false">VLOOKUP($E51,Role!$A$2:$O$9,10,0)</f>
        <v>0.75</v>
      </c>
      <c r="AP51" s="6" t="n">
        <f aca="false">VLOOKUP($F51,Category!$A$2:$AZ$20,9,0)</f>
        <v>0</v>
      </c>
      <c r="AQ51" s="6" t="n">
        <f aca="false">VLOOKUP($F51,Category!$A$2:$AZ$20,11,0)</f>
        <v>0.555555555555556</v>
      </c>
      <c r="AR51" s="6" t="n">
        <f aca="false">VLOOKUP($E51,Role!$A$2:$O$9,10,0)</f>
        <v>0.75</v>
      </c>
      <c r="AS51" s="6" t="n">
        <f aca="false">VLOOKUP($F51,Category!$A$2:$AZ$20,10,0)</f>
        <v>0.555555555555556</v>
      </c>
      <c r="AT51" s="7" t="n">
        <f aca="false">VLOOKUP($F51,Category!$A$2:$AZ$20,14,0)</f>
        <v>0.416666666666667</v>
      </c>
      <c r="AU51" s="7" t="n">
        <f aca="false">VLOOKUP($F51,Category!$A$2:$AZ$20,16,0)</f>
        <v>0.25</v>
      </c>
      <c r="AV51" s="7" t="n">
        <f aca="false">VLOOKUP($D51,Size!$A$2:$Z$13,17,0)</f>
        <v>4</v>
      </c>
      <c r="AW51" s="7" t="n">
        <f aca="false">VLOOKUP($F51,Category!$A$2:$AZ$20,29,0)</f>
        <v>0.333333333333333</v>
      </c>
      <c r="AX51" s="7" t="n">
        <f aca="false">VLOOKUP($F51,Category!$A$2:$AZ$20,31,0)</f>
        <v>0.333333333333333</v>
      </c>
      <c r="AY51" s="7" t="n">
        <f aca="false">VLOOKUP($D51,Size!$A$2:$Z$13,16,0)</f>
        <v>1</v>
      </c>
      <c r="AZ51" s="7" t="n">
        <f aca="false">VLOOKUP($E51,Role!$A$2:$O$9,11,0)</f>
        <v>0.75</v>
      </c>
      <c r="BB51" s="5" t="n">
        <f aca="false">VLOOKUP($D51,Size!$A$2:$Z$13,19,0)</f>
        <v>6</v>
      </c>
      <c r="BC51" s="5" t="n">
        <f aca="false">VLOOKUP($D51,Size!$A$2:$Z$13,20,0)</f>
        <v>0.33</v>
      </c>
      <c r="BD51" s="5" t="n">
        <f aca="false">VLOOKUP($E51,Role!$A$2:$O$9,13,0)</f>
        <v>0.75</v>
      </c>
      <c r="BE51" s="5" t="n">
        <f aca="false">VLOOKUP($C51,Type!$A$2:$B$4,2,0)</f>
        <v>1</v>
      </c>
    </row>
    <row r="52" customFormat="false" ht="12.8" hidden="false" customHeight="false" outlineLevel="0" collapsed="false">
      <c r="B52" s="2" t="n">
        <v>1</v>
      </c>
      <c r="C52" s="3" t="s">
        <v>51</v>
      </c>
      <c r="D52" s="1" t="s">
        <v>68</v>
      </c>
      <c r="E52" s="1" t="s">
        <v>66</v>
      </c>
      <c r="F52" s="1" t="s">
        <v>67</v>
      </c>
      <c r="G52" s="1" t="s">
        <v>79</v>
      </c>
      <c r="H52" s="4" t="n">
        <f aca="false">VLOOKUP($D52,Size!$A$2:$F$13,6,0)</f>
        <v>-2</v>
      </c>
      <c r="J52" s="12" t="n">
        <f aca="false">INT(($B52*$AY52*$AW52*$AZ52)+($B52*$AX52))</f>
        <v>0</v>
      </c>
      <c r="K52" s="4" t="n">
        <f aca="false">ROUND((($B52*$AT52)+($AV52*$AU52)),0)</f>
        <v>1</v>
      </c>
      <c r="L52" s="4" t="n">
        <f aca="false">ROUND((($B52*$AP52)+($B52*$AQ52))*$AR52,0)</f>
        <v>0</v>
      </c>
      <c r="M52" s="4" t="n">
        <f aca="false">ROUND((($B52*$AM52)+($B52*$AN52))*$AO52,0)</f>
        <v>0</v>
      </c>
      <c r="N52" s="4" t="n">
        <f aca="false">ROUND((($B52*$AG52)+($B52*$AH52))*$AI52,0)</f>
        <v>0</v>
      </c>
      <c r="O52" s="4" t="n">
        <f aca="false">ROUND((($B52*$AJ52)+($B52*$AK52))*$AL52,0)</f>
        <v>1</v>
      </c>
      <c r="Q52" s="4" t="n">
        <f aca="false">INT(VLOOKUP($E52,Role!$A$2:$O$9,8,0)*$B52)</f>
        <v>0</v>
      </c>
      <c r="R52" s="4" t="n">
        <f aca="false">INT(VLOOKUP($E52,Role!$A$2:$O$9,9,0)*$B52)</f>
        <v>0</v>
      </c>
      <c r="S52" s="4" t="n">
        <f aca="false">INT(VLOOKUP($E52,Role!$A$2:$P$9,16,0)*$B52*$AS52)</f>
        <v>0</v>
      </c>
      <c r="T52" s="4" t="n">
        <f aca="false">INT(VLOOKUP($D52,Size!$A$2:$Z$13,18,0)*VLOOKUP($E52,Role!$A$2:$O$9,13,0)*$B52/2)</f>
        <v>2</v>
      </c>
      <c r="U52" s="4" t="n">
        <f aca="false">INT(($BB52*$BE52)+($J52*$BC52))</f>
        <v>7</v>
      </c>
      <c r="V52" s="4" t="n">
        <f aca="false">INT((10+$N52)*VLOOKUP($E52,Role!$A$2:$O$9,14,0))</f>
        <v>10</v>
      </c>
      <c r="W52" s="4" t="n">
        <f aca="false">INT($J52*VLOOKUP($E52,Role!$A$2:$O$9,12,0))</f>
        <v>0</v>
      </c>
      <c r="Y52" s="2" t="n">
        <f aca="false">ROUND(MAX($K52,$M52)+(MIN($K52,$M52)*VLOOKUP($E52,Role!$A$2:$O$9,14,0)),0)</f>
        <v>1</v>
      </c>
      <c r="Z52" s="2" t="n">
        <f aca="false">MAX(1,INT(((MIN($J52:$K52)+(MAX($J52:$K52)*$H52*VLOOKUP($E52,Role!$A$2:$O$9,15,0))))*VLOOKUP($G52,Movement!$A$2:$C$7,3,0)))</f>
        <v>1</v>
      </c>
      <c r="AB52" s="5" t="n">
        <f aca="false">INT(5+(($H52-1)/3))</f>
        <v>4</v>
      </c>
      <c r="AC52" s="5" t="n">
        <f aca="false">IF($AB52&lt;$J52,$J52-MAX($AB52,$B52),0)</f>
        <v>0</v>
      </c>
      <c r="AD52" s="5" t="n">
        <f aca="false">(5-ROUND(($H52-1)/3,0))</f>
        <v>6</v>
      </c>
      <c r="AE52" s="5" t="n">
        <f aca="false">IF($AD52&lt;$K52,$K52-MAX($AD52,$B52),0)</f>
        <v>0</v>
      </c>
      <c r="AG52" s="6" t="n">
        <f aca="false">VLOOKUP($F52,Category!$A$2:$AZ$20,24,0)</f>
        <v>0</v>
      </c>
      <c r="AH52" s="6" t="n">
        <f aca="false">VLOOKUP($F52,Category!$A$2:$AZ$20,26,0)</f>
        <v>0.333333333333333</v>
      </c>
      <c r="AI52" s="6" t="n">
        <f aca="false">VLOOKUP($E52,Role!$A$2:$O$9,10,0)</f>
        <v>0.75</v>
      </c>
      <c r="AJ52" s="6" t="n">
        <f aca="false">VLOOKUP($F52,Category!$A$2:$AZ$20,19,0)</f>
        <v>0.0909090909090909</v>
      </c>
      <c r="AK52" s="6" t="n">
        <f aca="false">VLOOKUP($F52,Category!$A$2:$AZ$20,21,0)</f>
        <v>0.545454545454545</v>
      </c>
      <c r="AL52" s="6" t="n">
        <f aca="false">1</f>
        <v>1</v>
      </c>
      <c r="AM52" s="6" t="n">
        <f aca="false">VLOOKUP($F52,Category!$A$2:$AZ$20,19,0)</f>
        <v>0.0909090909090909</v>
      </c>
      <c r="AN52" s="6" t="n">
        <f aca="false">VLOOKUP($F52,Category!$A$2:$AZ$20,21,0)</f>
        <v>0.545454545454545</v>
      </c>
      <c r="AO52" s="6" t="n">
        <f aca="false">VLOOKUP($E52,Role!$A$2:$O$9,10,0)</f>
        <v>0.75</v>
      </c>
      <c r="AP52" s="6" t="n">
        <f aca="false">VLOOKUP($F52,Category!$A$2:$AZ$20,9,0)</f>
        <v>0</v>
      </c>
      <c r="AQ52" s="6" t="n">
        <f aca="false">VLOOKUP($F52,Category!$A$2:$AZ$20,11,0)</f>
        <v>0.555555555555556</v>
      </c>
      <c r="AR52" s="6" t="n">
        <f aca="false">VLOOKUP($E52,Role!$A$2:$O$9,10,0)</f>
        <v>0.75</v>
      </c>
      <c r="AS52" s="6" t="n">
        <f aca="false">VLOOKUP($F52,Category!$A$2:$AZ$20,10,0)</f>
        <v>0.555555555555556</v>
      </c>
      <c r="AT52" s="7" t="n">
        <f aca="false">VLOOKUP($F52,Category!$A$2:$AZ$20,14,0)</f>
        <v>0.416666666666667</v>
      </c>
      <c r="AU52" s="7" t="n">
        <f aca="false">VLOOKUP($F52,Category!$A$2:$AZ$20,16,0)</f>
        <v>0.25</v>
      </c>
      <c r="AV52" s="7" t="n">
        <f aca="false">VLOOKUP($D52,Size!$A$2:$Z$13,17,0)</f>
        <v>3</v>
      </c>
      <c r="AW52" s="7" t="n">
        <f aca="false">VLOOKUP($F52,Category!$A$2:$AZ$20,29,0)</f>
        <v>0.333333333333333</v>
      </c>
      <c r="AX52" s="7" t="n">
        <f aca="false">VLOOKUP($F52,Category!$A$2:$AZ$20,31,0)</f>
        <v>0.333333333333333</v>
      </c>
      <c r="AY52" s="7" t="n">
        <f aca="false">VLOOKUP($D52,Size!$A$2:$Z$13,16,0)</f>
        <v>2</v>
      </c>
      <c r="AZ52" s="7" t="n">
        <f aca="false">VLOOKUP($E52,Role!$A$2:$O$9,11,0)</f>
        <v>0.75</v>
      </c>
      <c r="BB52" s="5" t="n">
        <f aca="false">VLOOKUP($D52,Size!$A$2:$Z$13,19,0)</f>
        <v>7</v>
      </c>
      <c r="BC52" s="5" t="n">
        <f aca="false">VLOOKUP($D52,Size!$A$2:$Z$13,20,0)</f>
        <v>0.5</v>
      </c>
      <c r="BD52" s="5" t="n">
        <f aca="false">VLOOKUP($E52,Role!$A$2:$O$9,13,0)</f>
        <v>0.75</v>
      </c>
      <c r="BE52" s="5" t="n">
        <f aca="false">VLOOKUP($C52,Type!$A$2:$B$4,2,0)</f>
        <v>1</v>
      </c>
    </row>
    <row r="53" customFormat="false" ht="12.8" hidden="false" customHeight="false" outlineLevel="0" collapsed="false">
      <c r="B53" s="2" t="n">
        <v>1</v>
      </c>
      <c r="C53" s="3" t="s">
        <v>51</v>
      </c>
      <c r="D53" s="1" t="s">
        <v>69</v>
      </c>
      <c r="E53" s="1" t="s">
        <v>66</v>
      </c>
      <c r="F53" s="1" t="s">
        <v>67</v>
      </c>
      <c r="G53" s="1" t="s">
        <v>79</v>
      </c>
      <c r="H53" s="4" t="n">
        <f aca="false">VLOOKUP($D53,Size!$A$2:$F$13,6,0)</f>
        <v>-1</v>
      </c>
      <c r="J53" s="12" t="n">
        <f aca="false">INT(($B53*$AY53*$AW53*$AZ53)+($B53*$AX53))</f>
        <v>0</v>
      </c>
      <c r="K53" s="4" t="n">
        <f aca="false">ROUND((($B53*$AT53)+($AV53*$AU53)),0)</f>
        <v>1</v>
      </c>
      <c r="L53" s="4" t="n">
        <f aca="false">ROUND((($B53*$AP53)+($B53*$AQ53))*$AR53,0)</f>
        <v>0</v>
      </c>
      <c r="M53" s="4" t="n">
        <f aca="false">ROUND((($B53*$AM53)+($B53*$AN53))*$AO53,0)</f>
        <v>0</v>
      </c>
      <c r="N53" s="4" t="n">
        <f aca="false">ROUND((($B53*$AG53)+($B53*$AH53))*$AI53,0)</f>
        <v>0</v>
      </c>
      <c r="O53" s="4" t="n">
        <f aca="false">ROUND((($B53*$AJ53)+($B53*$AK53))*$AL53,0)</f>
        <v>1</v>
      </c>
      <c r="Q53" s="4" t="n">
        <f aca="false">INT(VLOOKUP($E53,Role!$A$2:$O$9,8,0)*$B53)</f>
        <v>0</v>
      </c>
      <c r="R53" s="4" t="n">
        <f aca="false">INT(VLOOKUP($E53,Role!$A$2:$O$9,9,0)*$B53)</f>
        <v>0</v>
      </c>
      <c r="S53" s="4" t="n">
        <f aca="false">INT(VLOOKUP($E53,Role!$A$2:$P$9,16,0)*$B53*$AS53)</f>
        <v>0</v>
      </c>
      <c r="T53" s="4" t="n">
        <f aca="false">INT(VLOOKUP($D53,Size!$A$2:$Z$13,18,0)*VLOOKUP($E53,Role!$A$2:$O$9,13,0)*$B53/2)</f>
        <v>3</v>
      </c>
      <c r="U53" s="4" t="n">
        <f aca="false">INT(($BB53*$BE53)+($J53*$BC53))</f>
        <v>8</v>
      </c>
      <c r="V53" s="4" t="n">
        <f aca="false">INT((10+$N53)*VLOOKUP($E53,Role!$A$2:$O$9,14,0))</f>
        <v>10</v>
      </c>
      <c r="W53" s="4" t="n">
        <f aca="false">INT($J53*VLOOKUP($E53,Role!$A$2:$O$9,12,0))</f>
        <v>0</v>
      </c>
      <c r="Y53" s="2" t="n">
        <f aca="false">ROUND(MAX($K53,$M53)+(MIN($K53,$M53)*VLOOKUP($E53,Role!$A$2:$O$9,14,0)),0)</f>
        <v>1</v>
      </c>
      <c r="Z53" s="2" t="n">
        <f aca="false">MAX(1,INT(((MIN($J53:$K53)+(MAX($J53:$K53)*$H53*VLOOKUP($E53,Role!$A$2:$O$9,15,0))))*VLOOKUP($G53,Movement!$A$2:$C$7,3,0)))</f>
        <v>1</v>
      </c>
      <c r="AB53" s="5" t="n">
        <f aca="false">INT(5+(($H53-1)/3))</f>
        <v>4</v>
      </c>
      <c r="AC53" s="5" t="n">
        <f aca="false">IF($AB53&lt;$J53,$J53-MAX($AB53,$B53),0)</f>
        <v>0</v>
      </c>
      <c r="AD53" s="5" t="n">
        <f aca="false">(5-ROUND(($H53-1)/3,0))</f>
        <v>6</v>
      </c>
      <c r="AE53" s="5" t="n">
        <f aca="false">IF($AD53&lt;$K53,$K53-MAX($AD53,$B53),0)</f>
        <v>0</v>
      </c>
      <c r="AG53" s="6" t="n">
        <f aca="false">VLOOKUP($F53,Category!$A$2:$AZ$20,24,0)</f>
        <v>0</v>
      </c>
      <c r="AH53" s="6" t="n">
        <f aca="false">VLOOKUP($F53,Category!$A$2:$AZ$20,26,0)</f>
        <v>0.333333333333333</v>
      </c>
      <c r="AI53" s="6" t="n">
        <f aca="false">VLOOKUP($E53,Role!$A$2:$O$9,10,0)</f>
        <v>0.75</v>
      </c>
      <c r="AJ53" s="6" t="n">
        <f aca="false">VLOOKUP($F53,Category!$A$2:$AZ$20,19,0)</f>
        <v>0.0909090909090909</v>
      </c>
      <c r="AK53" s="6" t="n">
        <f aca="false">VLOOKUP($F53,Category!$A$2:$AZ$20,21,0)</f>
        <v>0.545454545454545</v>
      </c>
      <c r="AL53" s="6" t="n">
        <f aca="false">1</f>
        <v>1</v>
      </c>
      <c r="AM53" s="6" t="n">
        <f aca="false">VLOOKUP($F53,Category!$A$2:$AZ$20,19,0)</f>
        <v>0.0909090909090909</v>
      </c>
      <c r="AN53" s="6" t="n">
        <f aca="false">VLOOKUP($F53,Category!$A$2:$AZ$20,21,0)</f>
        <v>0.545454545454545</v>
      </c>
      <c r="AO53" s="6" t="n">
        <f aca="false">VLOOKUP($E53,Role!$A$2:$O$9,10,0)</f>
        <v>0.75</v>
      </c>
      <c r="AP53" s="6" t="n">
        <f aca="false">VLOOKUP($F53,Category!$A$2:$AZ$20,9,0)</f>
        <v>0</v>
      </c>
      <c r="AQ53" s="6" t="n">
        <f aca="false">VLOOKUP($F53,Category!$A$2:$AZ$20,11,0)</f>
        <v>0.555555555555556</v>
      </c>
      <c r="AR53" s="6" t="n">
        <f aca="false">VLOOKUP($E53,Role!$A$2:$O$9,10,0)</f>
        <v>0.75</v>
      </c>
      <c r="AS53" s="6" t="n">
        <f aca="false">VLOOKUP($F53,Category!$A$2:$AZ$20,10,0)</f>
        <v>0.555555555555556</v>
      </c>
      <c r="AT53" s="7" t="n">
        <f aca="false">VLOOKUP($F53,Category!$A$2:$AZ$20,14,0)</f>
        <v>0.416666666666667</v>
      </c>
      <c r="AU53" s="7" t="n">
        <f aca="false">VLOOKUP($F53,Category!$A$2:$AZ$20,16,0)</f>
        <v>0.25</v>
      </c>
      <c r="AV53" s="7" t="n">
        <f aca="false">VLOOKUP($D53,Size!$A$2:$Z$13,17,0)</f>
        <v>3</v>
      </c>
      <c r="AW53" s="7" t="n">
        <f aca="false">VLOOKUP($F53,Category!$A$2:$AZ$20,29,0)</f>
        <v>0.333333333333333</v>
      </c>
      <c r="AX53" s="7" t="n">
        <f aca="false">VLOOKUP($F53,Category!$A$2:$AZ$20,31,0)</f>
        <v>0.333333333333333</v>
      </c>
      <c r="AY53" s="7" t="n">
        <f aca="false">VLOOKUP($D53,Size!$A$2:$Z$13,16,0)</f>
        <v>2</v>
      </c>
      <c r="AZ53" s="7" t="n">
        <f aca="false">VLOOKUP($E53,Role!$A$2:$O$9,11,0)</f>
        <v>0.75</v>
      </c>
      <c r="BB53" s="5" t="n">
        <f aca="false">VLOOKUP($D53,Size!$A$2:$Z$13,19,0)</f>
        <v>8</v>
      </c>
      <c r="BC53" s="5" t="n">
        <f aca="false">VLOOKUP($D53,Size!$A$2:$Z$13,20,0)</f>
        <v>0.66</v>
      </c>
      <c r="BD53" s="5" t="n">
        <f aca="false">VLOOKUP($E53,Role!$A$2:$O$9,13,0)</f>
        <v>0.75</v>
      </c>
      <c r="BE53" s="5" t="n">
        <f aca="false">VLOOKUP($C53,Type!$A$2:$B$4,2,0)</f>
        <v>1</v>
      </c>
    </row>
    <row r="54" customFormat="false" ht="12.8" hidden="false" customHeight="false" outlineLevel="0" collapsed="false">
      <c r="B54" s="2" t="n">
        <v>1</v>
      </c>
      <c r="C54" s="3" t="s">
        <v>51</v>
      </c>
      <c r="D54" s="1" t="s">
        <v>70</v>
      </c>
      <c r="E54" s="1" t="s">
        <v>66</v>
      </c>
      <c r="F54" s="1" t="s">
        <v>67</v>
      </c>
      <c r="G54" s="1" t="s">
        <v>79</v>
      </c>
      <c r="H54" s="4" t="n">
        <f aca="false">VLOOKUP($D54,Size!$A$2:$F$13,6,0)</f>
        <v>0</v>
      </c>
      <c r="J54" s="12" t="n">
        <f aca="false">INT(($B54*$AY54*$AW54*$AZ54)+($B54*$AX54))</f>
        <v>0</v>
      </c>
      <c r="K54" s="4" t="n">
        <f aca="false">ROUND((($B54*$AT54)+($AV54*$AU54)),0)</f>
        <v>1</v>
      </c>
      <c r="L54" s="4" t="n">
        <f aca="false">ROUND((($B54*$AP54)+($B54*$AQ54))*$AR54,0)</f>
        <v>0</v>
      </c>
      <c r="M54" s="4" t="n">
        <f aca="false">ROUND((($B54*$AM54)+($B54*$AN54))*$AO54,0)</f>
        <v>0</v>
      </c>
      <c r="N54" s="4" t="n">
        <f aca="false">ROUND((($B54*$AG54)+($B54*$AH54))*$AI54,0)</f>
        <v>0</v>
      </c>
      <c r="O54" s="4" t="n">
        <f aca="false">ROUND((($B54*$AJ54)+($B54*$AK54))*$AL54,0)</f>
        <v>1</v>
      </c>
      <c r="Q54" s="4" t="n">
        <f aca="false">INT(VLOOKUP($E54,Role!$A$2:$O$9,8,0)*$B54)</f>
        <v>0</v>
      </c>
      <c r="R54" s="4" t="n">
        <f aca="false">INT(VLOOKUP($E54,Role!$A$2:$O$9,9,0)*$B54)</f>
        <v>0</v>
      </c>
      <c r="S54" s="4" t="n">
        <f aca="false">INT(VLOOKUP($E54,Role!$A$2:$P$9,16,0)*$B54*$AS54)</f>
        <v>0</v>
      </c>
      <c r="T54" s="4" t="n">
        <f aca="false">INT(VLOOKUP($D54,Size!$A$2:$Z$13,18,0)*VLOOKUP($E54,Role!$A$2:$O$9,13,0)*$B54/2)</f>
        <v>3</v>
      </c>
      <c r="U54" s="4" t="n">
        <f aca="false">INT(($BB54*$BE54)+($J54*$BC54))</f>
        <v>9</v>
      </c>
      <c r="V54" s="4" t="n">
        <f aca="false">INT((10+$N54)*VLOOKUP($E54,Role!$A$2:$O$9,14,0))</f>
        <v>10</v>
      </c>
      <c r="W54" s="4" t="n">
        <f aca="false">INT($J54*VLOOKUP($E54,Role!$A$2:$O$9,12,0))</f>
        <v>0</v>
      </c>
      <c r="Y54" s="2" t="n">
        <f aca="false">ROUND(MAX($K54,$M54)+(MIN($K54,$M54)*VLOOKUP($E54,Role!$A$2:$O$9,14,0)),0)</f>
        <v>1</v>
      </c>
      <c r="Z54" s="2" t="n">
        <f aca="false">MAX(1,INT(((MIN($J54:$K54)+(MAX($J54:$K54)*$H54*VLOOKUP($E54,Role!$A$2:$O$9,15,0))))*VLOOKUP($G54,Movement!$A$2:$C$7,3,0)))</f>
        <v>1</v>
      </c>
      <c r="AB54" s="5" t="n">
        <f aca="false">INT(5+(($H54-1)/3))</f>
        <v>4</v>
      </c>
      <c r="AC54" s="5" t="n">
        <f aca="false">IF($AB54&lt;$J54,$J54-MAX($AB54,$B54),0)</f>
        <v>0</v>
      </c>
      <c r="AD54" s="5" t="n">
        <f aca="false">(5-ROUND(($H54-1)/3,0))</f>
        <v>5</v>
      </c>
      <c r="AE54" s="5" t="n">
        <f aca="false">IF($AD54&lt;$K54,$K54-MAX($AD54,$B54),0)</f>
        <v>0</v>
      </c>
      <c r="AG54" s="6" t="n">
        <f aca="false">VLOOKUP($F54,Category!$A$2:$AZ$20,24,0)</f>
        <v>0</v>
      </c>
      <c r="AH54" s="6" t="n">
        <f aca="false">VLOOKUP($F54,Category!$A$2:$AZ$20,26,0)</f>
        <v>0.333333333333333</v>
      </c>
      <c r="AI54" s="6" t="n">
        <f aca="false">VLOOKUP($E54,Role!$A$2:$O$9,10,0)</f>
        <v>0.75</v>
      </c>
      <c r="AJ54" s="6" t="n">
        <f aca="false">VLOOKUP($F54,Category!$A$2:$AZ$20,19,0)</f>
        <v>0.0909090909090909</v>
      </c>
      <c r="AK54" s="6" t="n">
        <f aca="false">VLOOKUP($F54,Category!$A$2:$AZ$20,21,0)</f>
        <v>0.545454545454545</v>
      </c>
      <c r="AL54" s="6" t="n">
        <f aca="false">1</f>
        <v>1</v>
      </c>
      <c r="AM54" s="6" t="n">
        <f aca="false">VLOOKUP($F54,Category!$A$2:$AZ$20,19,0)</f>
        <v>0.0909090909090909</v>
      </c>
      <c r="AN54" s="6" t="n">
        <f aca="false">VLOOKUP($F54,Category!$A$2:$AZ$20,21,0)</f>
        <v>0.545454545454545</v>
      </c>
      <c r="AO54" s="6" t="n">
        <f aca="false">VLOOKUP($E54,Role!$A$2:$O$9,10,0)</f>
        <v>0.75</v>
      </c>
      <c r="AP54" s="6" t="n">
        <f aca="false">VLOOKUP($F54,Category!$A$2:$AZ$20,9,0)</f>
        <v>0</v>
      </c>
      <c r="AQ54" s="6" t="n">
        <f aca="false">VLOOKUP($F54,Category!$A$2:$AZ$20,11,0)</f>
        <v>0.555555555555556</v>
      </c>
      <c r="AR54" s="6" t="n">
        <f aca="false">VLOOKUP($E54,Role!$A$2:$O$9,10,0)</f>
        <v>0.75</v>
      </c>
      <c r="AS54" s="6" t="n">
        <f aca="false">VLOOKUP($F54,Category!$A$2:$AZ$20,10,0)</f>
        <v>0.555555555555556</v>
      </c>
      <c r="AT54" s="7" t="n">
        <f aca="false">VLOOKUP($F54,Category!$A$2:$AZ$20,14,0)</f>
        <v>0.416666666666667</v>
      </c>
      <c r="AU54" s="7" t="n">
        <f aca="false">VLOOKUP($F54,Category!$A$2:$AZ$20,16,0)</f>
        <v>0.25</v>
      </c>
      <c r="AV54" s="7" t="n">
        <f aca="false">VLOOKUP($D54,Size!$A$2:$Z$13,17,0)</f>
        <v>3</v>
      </c>
      <c r="AW54" s="7" t="n">
        <f aca="false">VLOOKUP($F54,Category!$A$2:$AZ$20,29,0)</f>
        <v>0.333333333333333</v>
      </c>
      <c r="AX54" s="7" t="n">
        <f aca="false">VLOOKUP($F54,Category!$A$2:$AZ$20,31,0)</f>
        <v>0.333333333333333</v>
      </c>
      <c r="AY54" s="7" t="n">
        <f aca="false">VLOOKUP($D54,Size!$A$2:$Z$13,16,0)</f>
        <v>2</v>
      </c>
      <c r="AZ54" s="7" t="n">
        <f aca="false">VLOOKUP($E54,Role!$A$2:$O$9,11,0)</f>
        <v>0.75</v>
      </c>
      <c r="BB54" s="5" t="n">
        <f aca="false">VLOOKUP($D54,Size!$A$2:$Z$13,19,0)</f>
        <v>9</v>
      </c>
      <c r="BC54" s="5" t="n">
        <f aca="false">VLOOKUP($D54,Size!$A$2:$Z$13,20,0)</f>
        <v>0.75</v>
      </c>
      <c r="BD54" s="5" t="n">
        <f aca="false">VLOOKUP($E54,Role!$A$2:$O$9,13,0)</f>
        <v>0.75</v>
      </c>
      <c r="BE54" s="5" t="n">
        <f aca="false">VLOOKUP($C54,Type!$A$2:$B$4,2,0)</f>
        <v>1</v>
      </c>
    </row>
    <row r="55" customFormat="false" ht="12.8" hidden="false" customHeight="false" outlineLevel="0" collapsed="false">
      <c r="B55" s="2" t="n">
        <v>1</v>
      </c>
      <c r="C55" s="3" t="s">
        <v>51</v>
      </c>
      <c r="D55" s="1" t="s">
        <v>52</v>
      </c>
      <c r="E55" s="1" t="s">
        <v>66</v>
      </c>
      <c r="F55" s="1" t="s">
        <v>67</v>
      </c>
      <c r="G55" s="1" t="s">
        <v>79</v>
      </c>
      <c r="H55" s="4" t="n">
        <f aca="false">VLOOKUP($D55,Size!$A$2:$F$13,6,0)</f>
        <v>1</v>
      </c>
      <c r="J55" s="12" t="n">
        <f aca="false">INT(($B55*$AY55*$AW55*$AZ55)+($B55*$AX55))</f>
        <v>1</v>
      </c>
      <c r="K55" s="4" t="n">
        <f aca="false">ROUND((($B55*$AT55)+($AV55*$AU55)),0)</f>
        <v>1</v>
      </c>
      <c r="L55" s="4" t="n">
        <f aca="false">ROUND((($B55*$AP55)+($B55*$AQ55))*$AR55,0)</f>
        <v>0</v>
      </c>
      <c r="M55" s="4" t="n">
        <f aca="false">ROUND((($B55*$AM55)+($B55*$AN55))*$AO55,0)</f>
        <v>0</v>
      </c>
      <c r="N55" s="4" t="n">
        <f aca="false">ROUND((($B55*$AG55)+($B55*$AH55))*$AI55,0)</f>
        <v>0</v>
      </c>
      <c r="O55" s="4" t="n">
        <f aca="false">ROUND((($B55*$AJ55)+($B55*$AK55))*$AL55,0)</f>
        <v>1</v>
      </c>
      <c r="Q55" s="4" t="n">
        <f aca="false">INT(VLOOKUP($E55,Role!$A$2:$O$9,8,0)*$B55)</f>
        <v>0</v>
      </c>
      <c r="R55" s="4" t="n">
        <f aca="false">INT(VLOOKUP($E55,Role!$A$2:$O$9,9,0)*$B55)</f>
        <v>0</v>
      </c>
      <c r="S55" s="4" t="n">
        <f aca="false">INT(VLOOKUP($E55,Role!$A$2:$P$9,16,0)*$B55*$AS55)</f>
        <v>0</v>
      </c>
      <c r="T55" s="4" t="n">
        <f aca="false">INT(VLOOKUP($D55,Size!$A$2:$Z$13,18,0)*VLOOKUP($E55,Role!$A$2:$O$9,13,0)*$B55/2)</f>
        <v>4</v>
      </c>
      <c r="U55" s="4" t="n">
        <f aca="false">INT(($BB55*$BE55)+($J55*$BC55))</f>
        <v>11</v>
      </c>
      <c r="V55" s="4" t="n">
        <f aca="false">INT((10+$N55)*VLOOKUP($E55,Role!$A$2:$O$9,14,0))</f>
        <v>10</v>
      </c>
      <c r="W55" s="4" t="n">
        <f aca="false">INT($J55*VLOOKUP($E55,Role!$A$2:$O$9,12,0))</f>
        <v>0</v>
      </c>
      <c r="Y55" s="2" t="n">
        <f aca="false">ROUND(MAX($K55,$M55)+(MIN($K55,$M55)*VLOOKUP($E55,Role!$A$2:$O$9,14,0)),0)</f>
        <v>1</v>
      </c>
      <c r="Z55" s="2" t="n">
        <f aca="false">MAX(1,INT(((MIN($J55:$K55)+(MAX($J55:$K55)*$H55*VLOOKUP($E55,Role!$A$2:$O$9,15,0))))*VLOOKUP($G55,Movement!$A$2:$C$7,3,0)))</f>
        <v>3</v>
      </c>
      <c r="AB55" s="5" t="n">
        <f aca="false">INT(5+(($H55-1)/3))</f>
        <v>5</v>
      </c>
      <c r="AC55" s="5" t="n">
        <f aca="false">IF($AB55&lt;$J55,$J55-MAX($AB55,$B55),0)</f>
        <v>0</v>
      </c>
      <c r="AD55" s="5" t="n">
        <f aca="false">(5-ROUND(($H55-1)/3,0))</f>
        <v>5</v>
      </c>
      <c r="AE55" s="5" t="n">
        <f aca="false">IF($AD55&lt;$K55,$K55-MAX($AD55,$B55),0)</f>
        <v>0</v>
      </c>
      <c r="AG55" s="6" t="n">
        <f aca="false">VLOOKUP($F55,Category!$A$2:$AZ$20,24,0)</f>
        <v>0</v>
      </c>
      <c r="AH55" s="6" t="n">
        <f aca="false">VLOOKUP($F55,Category!$A$2:$AZ$20,26,0)</f>
        <v>0.333333333333333</v>
      </c>
      <c r="AI55" s="6" t="n">
        <f aca="false">VLOOKUP($E55,Role!$A$2:$O$9,10,0)</f>
        <v>0.75</v>
      </c>
      <c r="AJ55" s="6" t="n">
        <f aca="false">VLOOKUP($F55,Category!$A$2:$AZ$20,19,0)</f>
        <v>0.0909090909090909</v>
      </c>
      <c r="AK55" s="6" t="n">
        <f aca="false">VLOOKUP($F55,Category!$A$2:$AZ$20,21,0)</f>
        <v>0.545454545454545</v>
      </c>
      <c r="AL55" s="6" t="n">
        <f aca="false">1</f>
        <v>1</v>
      </c>
      <c r="AM55" s="6" t="n">
        <f aca="false">VLOOKUP($F55,Category!$A$2:$AZ$20,19,0)</f>
        <v>0.0909090909090909</v>
      </c>
      <c r="AN55" s="6" t="n">
        <f aca="false">VLOOKUP($F55,Category!$A$2:$AZ$20,21,0)</f>
        <v>0.545454545454545</v>
      </c>
      <c r="AO55" s="6" t="n">
        <f aca="false">VLOOKUP($E55,Role!$A$2:$O$9,10,0)</f>
        <v>0.75</v>
      </c>
      <c r="AP55" s="6" t="n">
        <f aca="false">VLOOKUP($F55,Category!$A$2:$AZ$20,9,0)</f>
        <v>0</v>
      </c>
      <c r="AQ55" s="6" t="n">
        <f aca="false">VLOOKUP($F55,Category!$A$2:$AZ$20,11,0)</f>
        <v>0.555555555555556</v>
      </c>
      <c r="AR55" s="6" t="n">
        <f aca="false">VLOOKUP($E55,Role!$A$2:$O$9,10,0)</f>
        <v>0.75</v>
      </c>
      <c r="AS55" s="6" t="n">
        <f aca="false">VLOOKUP($F55,Category!$A$2:$AZ$20,10,0)</f>
        <v>0.555555555555556</v>
      </c>
      <c r="AT55" s="7" t="n">
        <f aca="false">VLOOKUP($F55,Category!$A$2:$AZ$20,14,0)</f>
        <v>0.416666666666667</v>
      </c>
      <c r="AU55" s="7" t="n">
        <f aca="false">VLOOKUP($F55,Category!$A$2:$AZ$20,16,0)</f>
        <v>0.25</v>
      </c>
      <c r="AV55" s="7" t="n">
        <f aca="false">VLOOKUP($D55,Size!$A$2:$Z$13,17,0)</f>
        <v>3</v>
      </c>
      <c r="AW55" s="7" t="n">
        <f aca="false">VLOOKUP($F55,Category!$A$2:$AZ$20,29,0)</f>
        <v>0.333333333333333</v>
      </c>
      <c r="AX55" s="7" t="n">
        <f aca="false">VLOOKUP($F55,Category!$A$2:$AZ$20,31,0)</f>
        <v>0.333333333333333</v>
      </c>
      <c r="AY55" s="7" t="n">
        <f aca="false">VLOOKUP($D55,Size!$A$2:$Z$13,16,0)</f>
        <v>3</v>
      </c>
      <c r="AZ55" s="7" t="n">
        <f aca="false">VLOOKUP($E55,Role!$A$2:$O$9,11,0)</f>
        <v>0.75</v>
      </c>
      <c r="BB55" s="5" t="n">
        <f aca="false">VLOOKUP($D55,Size!$A$2:$Z$13,19,0)</f>
        <v>10</v>
      </c>
      <c r="BC55" s="5" t="n">
        <f aca="false">VLOOKUP($D55,Size!$A$2:$Z$13,20,0)</f>
        <v>1</v>
      </c>
      <c r="BD55" s="5" t="n">
        <f aca="false">VLOOKUP($E55,Role!$A$2:$O$9,13,0)</f>
        <v>0.75</v>
      </c>
      <c r="BE55" s="5" t="n">
        <f aca="false">VLOOKUP($C55,Type!$A$2:$B$4,2,0)</f>
        <v>1</v>
      </c>
    </row>
    <row r="56" customFormat="false" ht="12.8" hidden="false" customHeight="false" outlineLevel="0" collapsed="false">
      <c r="B56" s="2" t="n">
        <v>1</v>
      </c>
      <c r="C56" s="3" t="s">
        <v>51</v>
      </c>
      <c r="D56" s="1" t="s">
        <v>71</v>
      </c>
      <c r="E56" s="1" t="s">
        <v>66</v>
      </c>
      <c r="F56" s="1" t="s">
        <v>67</v>
      </c>
      <c r="G56" s="1" t="s">
        <v>79</v>
      </c>
      <c r="H56" s="4" t="n">
        <f aca="false">VLOOKUP($D56,Size!$A$2:$F$13,6,0)</f>
        <v>2</v>
      </c>
      <c r="J56" s="12" t="n">
        <f aca="false">INT(($B56*$AY56*$AW56*$AZ56)+($B56*$AX56))</f>
        <v>1</v>
      </c>
      <c r="K56" s="4" t="n">
        <f aca="false">ROUND((($B56*$AT56)+($AV56*$AU56)),0)</f>
        <v>1</v>
      </c>
      <c r="L56" s="4" t="n">
        <f aca="false">ROUND((($B56*$AP56)+($B56*$AQ56))*$AR56,0)</f>
        <v>0</v>
      </c>
      <c r="M56" s="4" t="n">
        <f aca="false">ROUND((($B56*$AM56)+($B56*$AN56))*$AO56,0)</f>
        <v>0</v>
      </c>
      <c r="N56" s="4" t="n">
        <f aca="false">ROUND((($B56*$AG56)+($B56*$AH56))*$AI56,0)</f>
        <v>0</v>
      </c>
      <c r="O56" s="4" t="n">
        <f aca="false">ROUND((($B56*$AJ56)+($B56*$AK56))*$AL56,0)</f>
        <v>1</v>
      </c>
      <c r="Q56" s="4" t="n">
        <f aca="false">INT(VLOOKUP($E56,Role!$A$2:$O$9,8,0)*$B56)</f>
        <v>0</v>
      </c>
      <c r="R56" s="4" t="n">
        <f aca="false">INT(VLOOKUP($E56,Role!$A$2:$O$9,9,0)*$B56)</f>
        <v>0</v>
      </c>
      <c r="S56" s="4" t="n">
        <f aca="false">INT(VLOOKUP($E56,Role!$A$2:$P$9,16,0)*$B56*$AS56)</f>
        <v>0</v>
      </c>
      <c r="T56" s="4" t="n">
        <f aca="false">INT(VLOOKUP($D56,Size!$A$2:$Z$13,18,0)*VLOOKUP($E56,Role!$A$2:$O$9,13,0)*$B56/2)</f>
        <v>6</v>
      </c>
      <c r="U56" s="4" t="n">
        <f aca="false">INT(($BB56*$BE56)+($J56*$BC56))</f>
        <v>14</v>
      </c>
      <c r="V56" s="4" t="n">
        <f aca="false">INT((10+$N56)*VLOOKUP($E56,Role!$A$2:$O$9,14,0))</f>
        <v>10</v>
      </c>
      <c r="W56" s="4" t="n">
        <f aca="false">INT($J56*VLOOKUP($E56,Role!$A$2:$O$9,12,0))</f>
        <v>0</v>
      </c>
      <c r="Y56" s="2" t="n">
        <f aca="false">ROUND(MAX($K56,$M56)+(MIN($K56,$M56)*VLOOKUP($E56,Role!$A$2:$O$9,14,0)),0)</f>
        <v>1</v>
      </c>
      <c r="Z56" s="2" t="n">
        <f aca="false">MAX(1,INT(((MIN($J56:$K56)+(MAX($J56:$K56)*$H56*VLOOKUP($E56,Role!$A$2:$O$9,15,0))))*VLOOKUP($G56,Movement!$A$2:$C$7,3,0)))</f>
        <v>4</v>
      </c>
      <c r="AB56" s="5" t="n">
        <f aca="false">INT(5+(($H56-1)/3))</f>
        <v>5</v>
      </c>
      <c r="AC56" s="5" t="n">
        <f aca="false">IF($AB56&lt;$J56,$J56-MAX($AB56,$B56),0)</f>
        <v>0</v>
      </c>
      <c r="AD56" s="5" t="n">
        <f aca="false">(5-ROUND(($H56-1)/3,0))</f>
        <v>5</v>
      </c>
      <c r="AE56" s="5" t="n">
        <f aca="false">IF($AD56&lt;$K56,$K56-MAX($AD56,$B56),0)</f>
        <v>0</v>
      </c>
      <c r="AG56" s="6" t="n">
        <f aca="false">VLOOKUP($F56,Category!$A$2:$AZ$20,24,0)</f>
        <v>0</v>
      </c>
      <c r="AH56" s="6" t="n">
        <f aca="false">VLOOKUP($F56,Category!$A$2:$AZ$20,26,0)</f>
        <v>0.333333333333333</v>
      </c>
      <c r="AI56" s="6" t="n">
        <f aca="false">VLOOKUP($E56,Role!$A$2:$O$9,10,0)</f>
        <v>0.75</v>
      </c>
      <c r="AJ56" s="6" t="n">
        <f aca="false">VLOOKUP($F56,Category!$A$2:$AZ$20,19,0)</f>
        <v>0.0909090909090909</v>
      </c>
      <c r="AK56" s="6" t="n">
        <f aca="false">VLOOKUP($F56,Category!$A$2:$AZ$20,21,0)</f>
        <v>0.545454545454545</v>
      </c>
      <c r="AL56" s="6" t="n">
        <f aca="false">1</f>
        <v>1</v>
      </c>
      <c r="AM56" s="6" t="n">
        <f aca="false">VLOOKUP($F56,Category!$A$2:$AZ$20,19,0)</f>
        <v>0.0909090909090909</v>
      </c>
      <c r="AN56" s="6" t="n">
        <f aca="false">VLOOKUP($F56,Category!$A$2:$AZ$20,21,0)</f>
        <v>0.545454545454545</v>
      </c>
      <c r="AO56" s="6" t="n">
        <f aca="false">VLOOKUP($E56,Role!$A$2:$O$9,10,0)</f>
        <v>0.75</v>
      </c>
      <c r="AP56" s="6" t="n">
        <f aca="false">VLOOKUP($F56,Category!$A$2:$AZ$20,9,0)</f>
        <v>0</v>
      </c>
      <c r="AQ56" s="6" t="n">
        <f aca="false">VLOOKUP($F56,Category!$A$2:$AZ$20,11,0)</f>
        <v>0.555555555555556</v>
      </c>
      <c r="AR56" s="6" t="n">
        <f aca="false">VLOOKUP($E56,Role!$A$2:$O$9,10,0)</f>
        <v>0.75</v>
      </c>
      <c r="AS56" s="6" t="n">
        <f aca="false">VLOOKUP($F56,Category!$A$2:$AZ$20,10,0)</f>
        <v>0.555555555555556</v>
      </c>
      <c r="AT56" s="7" t="n">
        <f aca="false">VLOOKUP($F56,Category!$A$2:$AZ$20,14,0)</f>
        <v>0.416666666666667</v>
      </c>
      <c r="AU56" s="7" t="n">
        <f aca="false">VLOOKUP($F56,Category!$A$2:$AZ$20,16,0)</f>
        <v>0.25</v>
      </c>
      <c r="AV56" s="7" t="n">
        <f aca="false">VLOOKUP($D56,Size!$A$2:$Z$13,17,0)</f>
        <v>3</v>
      </c>
      <c r="AW56" s="7" t="n">
        <f aca="false">VLOOKUP($F56,Category!$A$2:$AZ$20,29,0)</f>
        <v>0.333333333333333</v>
      </c>
      <c r="AX56" s="7" t="n">
        <f aca="false">VLOOKUP($F56,Category!$A$2:$AZ$20,31,0)</f>
        <v>0.333333333333333</v>
      </c>
      <c r="AY56" s="7" t="n">
        <f aca="false">VLOOKUP($D56,Size!$A$2:$Z$13,16,0)</f>
        <v>3</v>
      </c>
      <c r="AZ56" s="7" t="n">
        <f aca="false">VLOOKUP($E56,Role!$A$2:$O$9,11,0)</f>
        <v>0.75</v>
      </c>
      <c r="BB56" s="5" t="n">
        <f aca="false">VLOOKUP($D56,Size!$A$2:$Z$13,19,0)</f>
        <v>12</v>
      </c>
      <c r="BC56" s="5" t="n">
        <f aca="false">VLOOKUP($D56,Size!$A$2:$Z$13,20,0)</f>
        <v>2</v>
      </c>
      <c r="BD56" s="5" t="n">
        <f aca="false">VLOOKUP($E56,Role!$A$2:$O$9,13,0)</f>
        <v>0.75</v>
      </c>
      <c r="BE56" s="5" t="n">
        <f aca="false">VLOOKUP($C56,Type!$A$2:$B$4,2,0)</f>
        <v>1</v>
      </c>
    </row>
    <row r="57" customFormat="false" ht="12.8" hidden="false" customHeight="false" outlineLevel="0" collapsed="false">
      <c r="B57" s="2" t="n">
        <v>1</v>
      </c>
      <c r="C57" s="3" t="s">
        <v>51</v>
      </c>
      <c r="D57" s="1" t="s">
        <v>72</v>
      </c>
      <c r="E57" s="1" t="s">
        <v>66</v>
      </c>
      <c r="F57" s="1" t="s">
        <v>67</v>
      </c>
      <c r="G57" s="1" t="s">
        <v>79</v>
      </c>
      <c r="H57" s="4" t="n">
        <f aca="false">VLOOKUP($D57,Size!$A$2:$F$13,6,0)</f>
        <v>3</v>
      </c>
      <c r="J57" s="12" t="n">
        <f aca="false">INT(($B57*$AY57*$AW57*$AZ57)+($B57*$AX57))</f>
        <v>1</v>
      </c>
      <c r="K57" s="4" t="n">
        <f aca="false">ROUND((($B57*$AT57)+($AV57*$AU57)),0)</f>
        <v>1</v>
      </c>
      <c r="L57" s="4" t="n">
        <f aca="false">ROUND((($B57*$AP57)+($B57*$AQ57))*$AR57,0)</f>
        <v>0</v>
      </c>
      <c r="M57" s="4" t="n">
        <f aca="false">ROUND((($B57*$AM57)+($B57*$AN57))*$AO57,0)</f>
        <v>0</v>
      </c>
      <c r="N57" s="4" t="n">
        <f aca="false">ROUND((($B57*$AG57)+($B57*$AH57))*$AI57,0)</f>
        <v>0</v>
      </c>
      <c r="O57" s="4" t="n">
        <f aca="false">ROUND((($B57*$AJ57)+($B57*$AK57))*$AL57,0)</f>
        <v>1</v>
      </c>
      <c r="Q57" s="4" t="n">
        <f aca="false">INT(VLOOKUP($E57,Role!$A$2:$O$9,8,0)*$B57)</f>
        <v>0</v>
      </c>
      <c r="R57" s="4" t="n">
        <f aca="false">INT(VLOOKUP($E57,Role!$A$2:$O$9,9,0)*$B57)</f>
        <v>0</v>
      </c>
      <c r="S57" s="4" t="n">
        <f aca="false">INT(VLOOKUP($E57,Role!$A$2:$P$9,16,0)*$B57*$AS57)</f>
        <v>0</v>
      </c>
      <c r="T57" s="4" t="n">
        <f aca="false">INT(VLOOKUP($D57,Size!$A$2:$Z$13,18,0)*VLOOKUP($E57,Role!$A$2:$O$9,13,0)*$B57/2)</f>
        <v>8</v>
      </c>
      <c r="U57" s="4" t="n">
        <f aca="false">INT(($BB57*$BE57)+($J57*$BC57))</f>
        <v>18</v>
      </c>
      <c r="V57" s="4" t="n">
        <f aca="false">INT((10+$N57)*VLOOKUP($E57,Role!$A$2:$O$9,14,0))</f>
        <v>10</v>
      </c>
      <c r="W57" s="4" t="n">
        <f aca="false">INT($J57*VLOOKUP($E57,Role!$A$2:$O$9,12,0))</f>
        <v>0</v>
      </c>
      <c r="Y57" s="2" t="n">
        <f aca="false">ROUND(MAX($K57,$M57)+(MIN($K57,$M57)*VLOOKUP($E57,Role!$A$2:$O$9,14,0)),0)</f>
        <v>1</v>
      </c>
      <c r="Z57" s="2" t="n">
        <f aca="false">MAX(1,INT(((MIN($J57:$K57)+(MAX($J57:$K57)*$H57*VLOOKUP($E57,Role!$A$2:$O$9,15,0))))*VLOOKUP($G57,Movement!$A$2:$C$7,3,0)))</f>
        <v>6</v>
      </c>
      <c r="AB57" s="5" t="n">
        <f aca="false">INT(5+(($H57-1)/3))</f>
        <v>5</v>
      </c>
      <c r="AC57" s="5" t="n">
        <f aca="false">IF($AB57&lt;$J57,$J57-MAX($AB57,$B57),0)</f>
        <v>0</v>
      </c>
      <c r="AD57" s="5" t="n">
        <f aca="false">(5-ROUND(($H57-1)/3,0))</f>
        <v>4</v>
      </c>
      <c r="AE57" s="5" t="n">
        <f aca="false">IF($AD57&lt;$K57,$K57-MAX($AD57,$B57),0)</f>
        <v>0</v>
      </c>
      <c r="AG57" s="6" t="n">
        <f aca="false">VLOOKUP($F57,Category!$A$2:$AZ$20,24,0)</f>
        <v>0</v>
      </c>
      <c r="AH57" s="6" t="n">
        <f aca="false">VLOOKUP($F57,Category!$A$2:$AZ$20,26,0)</f>
        <v>0.333333333333333</v>
      </c>
      <c r="AI57" s="6" t="n">
        <f aca="false">VLOOKUP($E57,Role!$A$2:$O$9,10,0)</f>
        <v>0.75</v>
      </c>
      <c r="AJ57" s="6" t="n">
        <f aca="false">VLOOKUP($F57,Category!$A$2:$AZ$20,19,0)</f>
        <v>0.0909090909090909</v>
      </c>
      <c r="AK57" s="6" t="n">
        <f aca="false">VLOOKUP($F57,Category!$A$2:$AZ$20,21,0)</f>
        <v>0.545454545454545</v>
      </c>
      <c r="AL57" s="6" t="n">
        <f aca="false">1</f>
        <v>1</v>
      </c>
      <c r="AM57" s="6" t="n">
        <f aca="false">VLOOKUP($F57,Category!$A$2:$AZ$20,19,0)</f>
        <v>0.0909090909090909</v>
      </c>
      <c r="AN57" s="6" t="n">
        <f aca="false">VLOOKUP($F57,Category!$A$2:$AZ$20,21,0)</f>
        <v>0.545454545454545</v>
      </c>
      <c r="AO57" s="6" t="n">
        <f aca="false">VLOOKUP($E57,Role!$A$2:$O$9,10,0)</f>
        <v>0.75</v>
      </c>
      <c r="AP57" s="6" t="n">
        <f aca="false">VLOOKUP($F57,Category!$A$2:$AZ$20,9,0)</f>
        <v>0</v>
      </c>
      <c r="AQ57" s="6" t="n">
        <f aca="false">VLOOKUP($F57,Category!$A$2:$AZ$20,11,0)</f>
        <v>0.555555555555556</v>
      </c>
      <c r="AR57" s="6" t="n">
        <f aca="false">VLOOKUP($E57,Role!$A$2:$O$9,10,0)</f>
        <v>0.75</v>
      </c>
      <c r="AS57" s="6" t="n">
        <f aca="false">VLOOKUP($F57,Category!$A$2:$AZ$20,10,0)</f>
        <v>0.555555555555556</v>
      </c>
      <c r="AT57" s="7" t="n">
        <f aca="false">VLOOKUP($F57,Category!$A$2:$AZ$20,14,0)</f>
        <v>0.416666666666667</v>
      </c>
      <c r="AU57" s="7" t="n">
        <f aca="false">VLOOKUP($F57,Category!$A$2:$AZ$20,16,0)</f>
        <v>0.25</v>
      </c>
      <c r="AV57" s="7" t="n">
        <f aca="false">VLOOKUP($D57,Size!$A$2:$Z$13,17,0)</f>
        <v>2</v>
      </c>
      <c r="AW57" s="7" t="n">
        <f aca="false">VLOOKUP($F57,Category!$A$2:$AZ$20,29,0)</f>
        <v>0.333333333333333</v>
      </c>
      <c r="AX57" s="7" t="n">
        <f aca="false">VLOOKUP($F57,Category!$A$2:$AZ$20,31,0)</f>
        <v>0.333333333333333</v>
      </c>
      <c r="AY57" s="7" t="n">
        <f aca="false">VLOOKUP($D57,Size!$A$2:$Z$13,16,0)</f>
        <v>4</v>
      </c>
      <c r="AZ57" s="7" t="n">
        <f aca="false">VLOOKUP($E57,Role!$A$2:$O$9,11,0)</f>
        <v>0.75</v>
      </c>
      <c r="BB57" s="5" t="n">
        <f aca="false">VLOOKUP($D57,Size!$A$2:$Z$13,19,0)</f>
        <v>14</v>
      </c>
      <c r="BC57" s="5" t="n">
        <f aca="false">VLOOKUP($D57,Size!$A$2:$Z$13,20,0)</f>
        <v>4</v>
      </c>
      <c r="BD57" s="5" t="n">
        <f aca="false">VLOOKUP($E57,Role!$A$2:$O$9,13,0)</f>
        <v>0.75</v>
      </c>
      <c r="BE57" s="5" t="n">
        <f aca="false">VLOOKUP($C57,Type!$A$2:$B$4,2,0)</f>
        <v>1</v>
      </c>
    </row>
    <row r="58" customFormat="false" ht="12.8" hidden="false" customHeight="false" outlineLevel="0" collapsed="false">
      <c r="B58" s="2" t="n">
        <v>1</v>
      </c>
      <c r="C58" s="3" t="s">
        <v>51</v>
      </c>
      <c r="D58" s="1" t="s">
        <v>73</v>
      </c>
      <c r="E58" s="1" t="s">
        <v>66</v>
      </c>
      <c r="F58" s="1" t="s">
        <v>67</v>
      </c>
      <c r="G58" s="1" t="s">
        <v>79</v>
      </c>
      <c r="H58" s="4" t="n">
        <f aca="false">VLOOKUP($D58,Size!$A$2:$F$13,6,0)</f>
        <v>4</v>
      </c>
      <c r="J58" s="12" t="n">
        <f aca="false">INT(($B58*$AY58*$AW58*$AZ58)+($B58*$AX58))</f>
        <v>1</v>
      </c>
      <c r="K58" s="4" t="n">
        <f aca="false">ROUND((($B58*$AT58)+($AV58*$AU58)),0)</f>
        <v>1</v>
      </c>
      <c r="L58" s="4" t="n">
        <f aca="false">ROUND((($B58*$AP58)+($B58*$AQ58))*$AR58,0)</f>
        <v>0</v>
      </c>
      <c r="M58" s="4" t="n">
        <f aca="false">ROUND((($B58*$AM58)+($B58*$AN58))*$AO58,0)</f>
        <v>0</v>
      </c>
      <c r="N58" s="4" t="n">
        <f aca="false">ROUND((($B58*$AG58)+($B58*$AH58))*$AI58,0)</f>
        <v>0</v>
      </c>
      <c r="O58" s="9" t="n">
        <f aca="false">ROUND((($B58*$AJ58)+($B58*$AK58))*$AL58,0)</f>
        <v>1</v>
      </c>
      <c r="Q58" s="4" t="n">
        <f aca="false">INT(VLOOKUP($E58,Role!$A$2:$O$9,8,0)*$B58)</f>
        <v>0</v>
      </c>
      <c r="R58" s="4" t="n">
        <f aca="false">INT(VLOOKUP($E58,Role!$A$2:$O$9,9,0)*$B58)</f>
        <v>0</v>
      </c>
      <c r="S58" s="4" t="n">
        <f aca="false">INT(VLOOKUP($E58,Role!$A$2:$P$9,16,0)*$B58*$AS58)</f>
        <v>0</v>
      </c>
      <c r="T58" s="4" t="n">
        <f aca="false">INT(VLOOKUP($D58,Size!$A$2:$Z$13,18,0)*VLOOKUP($E58,Role!$A$2:$O$9,13,0)*$B58/2)</f>
        <v>9</v>
      </c>
      <c r="U58" s="4" t="n">
        <f aca="false">INT(($BB58*$BE58)+($J58*$BC58))</f>
        <v>22</v>
      </c>
      <c r="V58" s="4" t="n">
        <f aca="false">INT((10+$N58)*VLOOKUP($E58,Role!$A$2:$O$9,14,0))</f>
        <v>10</v>
      </c>
      <c r="W58" s="4" t="n">
        <f aca="false">INT($J58*VLOOKUP($E58,Role!$A$2:$O$9,12,0))</f>
        <v>0</v>
      </c>
      <c r="Y58" s="2" t="n">
        <f aca="false">ROUND(MAX($K58,$M58)+(MIN($K58,$M58)*VLOOKUP($E58,Role!$A$2:$O$9,14,0)),0)</f>
        <v>1</v>
      </c>
      <c r="Z58" s="2" t="n">
        <f aca="false">MAX(1,INT(((MIN($J58:$K58)+(MAX($J58:$K58)*$H58*VLOOKUP($E58,Role!$A$2:$O$9,15,0))))*VLOOKUP($G58,Movement!$A$2:$C$7,3,0)))</f>
        <v>7</v>
      </c>
      <c r="AB58" s="5" t="n">
        <f aca="false">INT(5+(($H58-1)/3))</f>
        <v>6</v>
      </c>
      <c r="AC58" s="5" t="n">
        <f aca="false">IF($AB58&lt;$J58,$J58-MAX($AB58,$B58),0)</f>
        <v>0</v>
      </c>
      <c r="AD58" s="5" t="n">
        <f aca="false">(5-ROUND(($H58-1)/3,0))</f>
        <v>4</v>
      </c>
      <c r="AE58" s="5" t="n">
        <f aca="false">IF($AD58&lt;$K58,$K58-MAX($AD58,$B58),0)</f>
        <v>0</v>
      </c>
      <c r="AG58" s="6" t="n">
        <f aca="false">VLOOKUP($F58,Category!$A$2:$AZ$20,24,0)</f>
        <v>0</v>
      </c>
      <c r="AH58" s="6" t="n">
        <f aca="false">VLOOKUP($F58,Category!$A$2:$AZ$20,26,0)</f>
        <v>0.333333333333333</v>
      </c>
      <c r="AI58" s="6" t="n">
        <f aca="false">VLOOKUP($E58,Role!$A$2:$O$9,10,0)</f>
        <v>0.75</v>
      </c>
      <c r="AJ58" s="6" t="n">
        <f aca="false">VLOOKUP($F58,Category!$A$2:$AZ$20,19,0)</f>
        <v>0.0909090909090909</v>
      </c>
      <c r="AK58" s="6" t="n">
        <f aca="false">VLOOKUP($F58,Category!$A$2:$AZ$20,21,0)</f>
        <v>0.545454545454545</v>
      </c>
      <c r="AL58" s="6" t="n">
        <f aca="false">1</f>
        <v>1</v>
      </c>
      <c r="AM58" s="6" t="n">
        <f aca="false">VLOOKUP($F58,Category!$A$2:$AZ$20,19,0)</f>
        <v>0.0909090909090909</v>
      </c>
      <c r="AN58" s="6" t="n">
        <f aca="false">VLOOKUP($F58,Category!$A$2:$AZ$20,21,0)</f>
        <v>0.545454545454545</v>
      </c>
      <c r="AO58" s="6" t="n">
        <f aca="false">VLOOKUP($E58,Role!$A$2:$O$9,10,0)</f>
        <v>0.75</v>
      </c>
      <c r="AP58" s="6" t="n">
        <f aca="false">VLOOKUP($F58,Category!$A$2:$AZ$20,9,0)</f>
        <v>0</v>
      </c>
      <c r="AQ58" s="6" t="n">
        <f aca="false">VLOOKUP($F58,Category!$A$2:$AZ$20,11,0)</f>
        <v>0.555555555555556</v>
      </c>
      <c r="AR58" s="6" t="n">
        <f aca="false">VLOOKUP($E58,Role!$A$2:$O$9,10,0)</f>
        <v>0.75</v>
      </c>
      <c r="AS58" s="6" t="n">
        <f aca="false">VLOOKUP($F58,Category!$A$2:$AZ$20,10,0)</f>
        <v>0.555555555555556</v>
      </c>
      <c r="AT58" s="7" t="n">
        <f aca="false">VLOOKUP($F58,Category!$A$2:$AZ$20,14,0)</f>
        <v>0.416666666666667</v>
      </c>
      <c r="AU58" s="7" t="n">
        <f aca="false">VLOOKUP($F58,Category!$A$2:$AZ$20,16,0)</f>
        <v>0.25</v>
      </c>
      <c r="AV58" s="7" t="n">
        <f aca="false">VLOOKUP($D58,Size!$A$2:$Z$13,17,0)</f>
        <v>2</v>
      </c>
      <c r="AW58" s="7" t="n">
        <f aca="false">VLOOKUP($F58,Category!$A$2:$AZ$20,29,0)</f>
        <v>0.333333333333333</v>
      </c>
      <c r="AX58" s="7" t="n">
        <f aca="false">VLOOKUP($F58,Category!$A$2:$AZ$20,31,0)</f>
        <v>0.333333333333333</v>
      </c>
      <c r="AY58" s="7" t="n">
        <f aca="false">VLOOKUP($D58,Size!$A$2:$Z$13,16,0)</f>
        <v>4</v>
      </c>
      <c r="AZ58" s="7" t="n">
        <f aca="false">VLOOKUP($E58,Role!$A$2:$O$9,11,0)</f>
        <v>0.75</v>
      </c>
      <c r="BB58" s="5" t="n">
        <f aca="false">VLOOKUP($D58,Size!$A$2:$Z$13,19,0)</f>
        <v>16</v>
      </c>
      <c r="BC58" s="5" t="n">
        <f aca="false">VLOOKUP($D58,Size!$A$2:$Z$13,20,0)</f>
        <v>6</v>
      </c>
      <c r="BD58" s="5" t="n">
        <f aca="false">VLOOKUP($E58,Role!$A$2:$O$9,13,0)</f>
        <v>0.75</v>
      </c>
      <c r="BE58" s="5" t="n">
        <f aca="false">VLOOKUP($C58,Type!$A$2:$B$4,2,0)</f>
        <v>1</v>
      </c>
    </row>
    <row r="59" customFormat="false" ht="12.8" hidden="false" customHeight="false" outlineLevel="0" collapsed="false">
      <c r="B59" s="2" t="n">
        <v>1</v>
      </c>
      <c r="C59" s="3" t="s">
        <v>51</v>
      </c>
      <c r="D59" s="1" t="s">
        <v>74</v>
      </c>
      <c r="E59" s="1" t="s">
        <v>66</v>
      </c>
      <c r="F59" s="1" t="s">
        <v>67</v>
      </c>
      <c r="G59" s="1" t="s">
        <v>79</v>
      </c>
      <c r="H59" s="4" t="n">
        <f aca="false">VLOOKUP($D59,Size!$A$2:$F$13,6,0)</f>
        <v>5</v>
      </c>
      <c r="J59" s="12" t="n">
        <f aca="false">INT(($B59*$AY59*$AW59*$AZ59)+($B59*$AX59))</f>
        <v>1</v>
      </c>
      <c r="K59" s="4" t="n">
        <f aca="false">ROUND((($B59*$AT59)+($AV59*$AU59)),0)</f>
        <v>1</v>
      </c>
      <c r="L59" s="4" t="n">
        <f aca="false">ROUND((($B59*$AP59)+($B59*$AQ59))*$AR59,0)</f>
        <v>0</v>
      </c>
      <c r="M59" s="4" t="n">
        <f aca="false">ROUND((($B59*$AM59)+($B59*$AN59))*$AO59,0)</f>
        <v>0</v>
      </c>
      <c r="N59" s="4" t="n">
        <f aca="false">ROUND((($B59*$AG59)+($B59*$AH59))*$AI59,0)</f>
        <v>0</v>
      </c>
      <c r="O59" s="4" t="n">
        <f aca="false">ROUND((($B59*$AJ59)+($B59*$AK59))*$AL59,0)</f>
        <v>1</v>
      </c>
      <c r="Q59" s="4" t="n">
        <f aca="false">INT(VLOOKUP($E59,Role!$A$2:$O$9,8,0)*$B59)</f>
        <v>0</v>
      </c>
      <c r="R59" s="4" t="n">
        <f aca="false">INT(VLOOKUP($E59,Role!$A$2:$O$9,9,0)*$B59)</f>
        <v>0</v>
      </c>
      <c r="S59" s="4" t="n">
        <f aca="false">INT(VLOOKUP($E59,Role!$A$2:$P$9,16,0)*$B59*$AS59)</f>
        <v>0</v>
      </c>
      <c r="T59" s="4" t="n">
        <f aca="false">INT(VLOOKUP($D59,Size!$A$2:$Z$13,18,0)*VLOOKUP($E59,Role!$A$2:$O$9,13,0)*$B59/2)</f>
        <v>11</v>
      </c>
      <c r="U59" s="4" t="n">
        <f aca="false">INT(($BB59*$BE59)+($J59*$BC59))</f>
        <v>26</v>
      </c>
      <c r="V59" s="4" t="n">
        <f aca="false">INT((10+$N59)*VLOOKUP($E59,Role!$A$2:$O$9,14,0))</f>
        <v>10</v>
      </c>
      <c r="W59" s="4" t="n">
        <f aca="false">INT($J59*VLOOKUP($E59,Role!$A$2:$O$9,12,0))</f>
        <v>0</v>
      </c>
      <c r="Y59" s="2" t="n">
        <f aca="false">ROUND(MAX($K59,$M59)+(MIN($K59,$M59)*VLOOKUP($E59,Role!$A$2:$O$9,14,0)),0)</f>
        <v>1</v>
      </c>
      <c r="Z59" s="2" t="n">
        <f aca="false">MAX(1,INT(((MIN($J59:$K59)+(MAX($J59:$K59)*$H59*VLOOKUP($E59,Role!$A$2:$O$9,15,0))))*VLOOKUP($G59,Movement!$A$2:$C$7,3,0)))</f>
        <v>9</v>
      </c>
      <c r="AB59" s="5" t="n">
        <f aca="false">INT(5+(($H59-1)/3))</f>
        <v>6</v>
      </c>
      <c r="AC59" s="5" t="n">
        <f aca="false">IF($AB59&lt;$J59,$J59-MAX($AB59,$B59),0)</f>
        <v>0</v>
      </c>
      <c r="AD59" s="5" t="n">
        <f aca="false">(5-ROUND(($H59-1)/3,0))</f>
        <v>4</v>
      </c>
      <c r="AE59" s="5" t="n">
        <f aca="false">IF($AD59&lt;$K59,$K59-MAX($AD59,$B59),0)</f>
        <v>0</v>
      </c>
      <c r="AG59" s="6" t="n">
        <f aca="false">VLOOKUP($F59,Category!$A$2:$AZ$20,24,0)</f>
        <v>0</v>
      </c>
      <c r="AH59" s="6" t="n">
        <f aca="false">VLOOKUP($F59,Category!$A$2:$AZ$20,26,0)</f>
        <v>0.333333333333333</v>
      </c>
      <c r="AI59" s="6" t="n">
        <f aca="false">VLOOKUP($E59,Role!$A$2:$O$9,10,0)</f>
        <v>0.75</v>
      </c>
      <c r="AJ59" s="6" t="n">
        <f aca="false">VLOOKUP($F59,Category!$A$2:$AZ$20,19,0)</f>
        <v>0.0909090909090909</v>
      </c>
      <c r="AK59" s="6" t="n">
        <f aca="false">VLOOKUP($F59,Category!$A$2:$AZ$20,21,0)</f>
        <v>0.545454545454545</v>
      </c>
      <c r="AL59" s="6" t="n">
        <f aca="false">1</f>
        <v>1</v>
      </c>
      <c r="AM59" s="6" t="n">
        <f aca="false">VLOOKUP($F59,Category!$A$2:$AZ$20,19,0)</f>
        <v>0.0909090909090909</v>
      </c>
      <c r="AN59" s="6" t="n">
        <f aca="false">VLOOKUP($F59,Category!$A$2:$AZ$20,21,0)</f>
        <v>0.545454545454545</v>
      </c>
      <c r="AO59" s="6" t="n">
        <f aca="false">VLOOKUP($E59,Role!$A$2:$O$9,10,0)</f>
        <v>0.75</v>
      </c>
      <c r="AP59" s="6" t="n">
        <f aca="false">VLOOKUP($F59,Category!$A$2:$AZ$20,9,0)</f>
        <v>0</v>
      </c>
      <c r="AQ59" s="6" t="n">
        <f aca="false">VLOOKUP($F59,Category!$A$2:$AZ$20,11,0)</f>
        <v>0.555555555555556</v>
      </c>
      <c r="AR59" s="6" t="n">
        <f aca="false">VLOOKUP($E59,Role!$A$2:$O$9,10,0)</f>
        <v>0.75</v>
      </c>
      <c r="AS59" s="6" t="n">
        <f aca="false">VLOOKUP($F59,Category!$A$2:$AZ$20,10,0)</f>
        <v>0.555555555555556</v>
      </c>
      <c r="AT59" s="7" t="n">
        <f aca="false">VLOOKUP($F59,Category!$A$2:$AZ$20,14,0)</f>
        <v>0.416666666666667</v>
      </c>
      <c r="AU59" s="7" t="n">
        <f aca="false">VLOOKUP($F59,Category!$A$2:$AZ$20,16,0)</f>
        <v>0.25</v>
      </c>
      <c r="AV59" s="7" t="n">
        <f aca="false">VLOOKUP($D59,Size!$A$2:$Z$13,17,0)</f>
        <v>2</v>
      </c>
      <c r="AW59" s="7" t="n">
        <f aca="false">VLOOKUP($F59,Category!$A$2:$AZ$20,29,0)</f>
        <v>0.333333333333333</v>
      </c>
      <c r="AX59" s="7" t="n">
        <f aca="false">VLOOKUP($F59,Category!$A$2:$AZ$20,31,0)</f>
        <v>0.333333333333333</v>
      </c>
      <c r="AY59" s="7" t="n">
        <f aca="false">VLOOKUP($D59,Size!$A$2:$Z$13,16,0)</f>
        <v>5</v>
      </c>
      <c r="AZ59" s="7" t="n">
        <f aca="false">VLOOKUP($E59,Role!$A$2:$O$9,11,0)</f>
        <v>0.75</v>
      </c>
      <c r="BB59" s="5" t="n">
        <f aca="false">VLOOKUP($D59,Size!$A$2:$Z$13,19,0)</f>
        <v>18</v>
      </c>
      <c r="BC59" s="5" t="n">
        <f aca="false">VLOOKUP($D59,Size!$A$2:$Z$13,20,0)</f>
        <v>8</v>
      </c>
      <c r="BD59" s="5" t="n">
        <f aca="false">VLOOKUP($E59,Role!$A$2:$O$9,13,0)</f>
        <v>0.75</v>
      </c>
      <c r="BE59" s="5" t="n">
        <f aca="false">VLOOKUP($C59,Type!$A$2:$B$4,2,0)</f>
        <v>1</v>
      </c>
    </row>
    <row r="60" customFormat="false" ht="12.8" hidden="false" customHeight="false" outlineLevel="0" collapsed="false">
      <c r="B60" s="2" t="n">
        <v>1</v>
      </c>
      <c r="C60" s="3" t="s">
        <v>51</v>
      </c>
      <c r="D60" s="1" t="s">
        <v>75</v>
      </c>
      <c r="E60" s="1" t="s">
        <v>66</v>
      </c>
      <c r="F60" s="1" t="s">
        <v>67</v>
      </c>
      <c r="G60" s="1" t="s">
        <v>79</v>
      </c>
      <c r="H60" s="4" t="n">
        <f aca="false">VLOOKUP($D60,Size!$A$2:$F$13,6,0)</f>
        <v>6</v>
      </c>
      <c r="J60" s="12" t="n">
        <f aca="false">INT(($B60*$AY60*$AW60*$AZ60)+($B60*$AX60))</f>
        <v>1</v>
      </c>
      <c r="K60" s="4" t="n">
        <f aca="false">ROUND((($B60*$AT60)+($AV60*$AU60)),0)</f>
        <v>1</v>
      </c>
      <c r="L60" s="4" t="n">
        <f aca="false">ROUND((($B60*$AP60)+($B60*$AQ60))*$AR60,0)</f>
        <v>0</v>
      </c>
      <c r="M60" s="4" t="n">
        <f aca="false">ROUND((($B60*$AM60)+($B60*$AN60))*$AO60,0)</f>
        <v>0</v>
      </c>
      <c r="N60" s="4" t="n">
        <f aca="false">ROUND((($B60*$AG60)+($B60*$AH60))*$AI60,0)</f>
        <v>0</v>
      </c>
      <c r="O60" s="4" t="n">
        <f aca="false">ROUND((($B60*$AJ60)+($B60*$AK60))*$AL60,0)</f>
        <v>1</v>
      </c>
      <c r="Q60" s="4" t="n">
        <f aca="false">INT(VLOOKUP($E60,Role!$A$2:$O$9,8,0)*$B60)</f>
        <v>0</v>
      </c>
      <c r="R60" s="4" t="n">
        <f aca="false">INT(VLOOKUP($E60,Role!$A$2:$O$9,9,0)*$B60)</f>
        <v>0</v>
      </c>
      <c r="S60" s="4" t="n">
        <f aca="false">INT(VLOOKUP($E60,Role!$A$2:$P$9,16,0)*$B60*$AS60)</f>
        <v>0</v>
      </c>
      <c r="T60" s="4" t="n">
        <f aca="false">INT(VLOOKUP($D60,Size!$A$2:$Z$13,18,0)*VLOOKUP($E60,Role!$A$2:$O$9,13,0)*$B60/2)</f>
        <v>14</v>
      </c>
      <c r="U60" s="4" t="n">
        <f aca="false">INT(($BB60*$BE60)+($J60*$BC60))</f>
        <v>30</v>
      </c>
      <c r="V60" s="4" t="n">
        <f aca="false">INT((10+$N60)*VLOOKUP($E60,Role!$A$2:$O$9,14,0))</f>
        <v>10</v>
      </c>
      <c r="W60" s="4" t="n">
        <f aca="false">INT($J60*VLOOKUP($E60,Role!$A$2:$O$9,12,0))</f>
        <v>0</v>
      </c>
      <c r="Y60" s="2" t="n">
        <f aca="false">ROUND(MAX($K60,$M60)+(MIN($K60,$M60)*VLOOKUP($E60,Role!$A$2:$O$9,14,0)),0)</f>
        <v>1</v>
      </c>
      <c r="Z60" s="2" t="n">
        <f aca="false">MAX(1,INT(((MIN($J60:$K60)+(MAX($J60:$K60)*$H60*VLOOKUP($E60,Role!$A$2:$O$9,15,0))))*VLOOKUP($G60,Movement!$A$2:$C$7,3,0)))</f>
        <v>10</v>
      </c>
      <c r="AB60" s="5" t="n">
        <f aca="false">INT(5+(($H60-1)/3))</f>
        <v>6</v>
      </c>
      <c r="AC60" s="5" t="n">
        <f aca="false">IF($AB60&lt;$J60,$J60-MAX($AB60,$B60),0)</f>
        <v>0</v>
      </c>
      <c r="AD60" s="5" t="n">
        <f aca="false">(5-ROUND(($H60-1)/3,0))</f>
        <v>3</v>
      </c>
      <c r="AE60" s="5" t="n">
        <f aca="false">IF($AD60&lt;$K60,$K60-MAX($AD60,$B60),0)</f>
        <v>0</v>
      </c>
      <c r="AG60" s="6" t="n">
        <f aca="false">VLOOKUP($F60,Category!$A$2:$AZ$20,24,0)</f>
        <v>0</v>
      </c>
      <c r="AH60" s="6" t="n">
        <f aca="false">VLOOKUP($F60,Category!$A$2:$AZ$20,26,0)</f>
        <v>0.333333333333333</v>
      </c>
      <c r="AI60" s="6" t="n">
        <f aca="false">VLOOKUP($E60,Role!$A$2:$O$9,10,0)</f>
        <v>0.75</v>
      </c>
      <c r="AJ60" s="6" t="n">
        <f aca="false">VLOOKUP($F60,Category!$A$2:$AZ$20,19,0)</f>
        <v>0.0909090909090909</v>
      </c>
      <c r="AK60" s="6" t="n">
        <f aca="false">VLOOKUP($F60,Category!$A$2:$AZ$20,21,0)</f>
        <v>0.545454545454545</v>
      </c>
      <c r="AL60" s="6" t="n">
        <f aca="false">1</f>
        <v>1</v>
      </c>
      <c r="AM60" s="6" t="n">
        <f aca="false">VLOOKUP($F60,Category!$A$2:$AZ$20,19,0)</f>
        <v>0.0909090909090909</v>
      </c>
      <c r="AN60" s="6" t="n">
        <f aca="false">VLOOKUP($F60,Category!$A$2:$AZ$20,21,0)</f>
        <v>0.545454545454545</v>
      </c>
      <c r="AO60" s="6" t="n">
        <f aca="false">VLOOKUP($E60,Role!$A$2:$O$9,10,0)</f>
        <v>0.75</v>
      </c>
      <c r="AP60" s="6" t="n">
        <f aca="false">VLOOKUP($F60,Category!$A$2:$AZ$20,9,0)</f>
        <v>0</v>
      </c>
      <c r="AQ60" s="6" t="n">
        <f aca="false">VLOOKUP($F60,Category!$A$2:$AZ$20,11,0)</f>
        <v>0.555555555555556</v>
      </c>
      <c r="AR60" s="6" t="n">
        <f aca="false">VLOOKUP($E60,Role!$A$2:$O$9,10,0)</f>
        <v>0.75</v>
      </c>
      <c r="AS60" s="6" t="n">
        <f aca="false">VLOOKUP($F60,Category!$A$2:$AZ$20,10,0)</f>
        <v>0.555555555555556</v>
      </c>
      <c r="AT60" s="7" t="n">
        <f aca="false">VLOOKUP($F60,Category!$A$2:$AZ$20,14,0)</f>
        <v>0.416666666666667</v>
      </c>
      <c r="AU60" s="7" t="n">
        <f aca="false">VLOOKUP($F60,Category!$A$2:$AZ$20,16,0)</f>
        <v>0.25</v>
      </c>
      <c r="AV60" s="7" t="n">
        <f aca="false">VLOOKUP($D60,Size!$A$2:$Z$13,17,0)</f>
        <v>2</v>
      </c>
      <c r="AW60" s="7" t="n">
        <f aca="false">VLOOKUP($F60,Category!$A$2:$AZ$20,29,0)</f>
        <v>0.333333333333333</v>
      </c>
      <c r="AX60" s="7" t="n">
        <f aca="false">VLOOKUP($F60,Category!$A$2:$AZ$20,31,0)</f>
        <v>0.333333333333333</v>
      </c>
      <c r="AY60" s="7" t="n">
        <f aca="false">VLOOKUP($D60,Size!$A$2:$Z$13,16,0)</f>
        <v>5</v>
      </c>
      <c r="AZ60" s="7" t="n">
        <f aca="false">VLOOKUP($E60,Role!$A$2:$O$9,11,0)</f>
        <v>0.75</v>
      </c>
      <c r="BB60" s="5" t="n">
        <f aca="false">VLOOKUP($D60,Size!$A$2:$Z$13,19,0)</f>
        <v>20</v>
      </c>
      <c r="BC60" s="5" t="n">
        <f aca="false">VLOOKUP($D60,Size!$A$2:$Z$13,20,0)</f>
        <v>10</v>
      </c>
      <c r="BD60" s="5" t="n">
        <f aca="false">VLOOKUP($E60,Role!$A$2:$O$9,13,0)</f>
        <v>0.75</v>
      </c>
      <c r="BE60" s="5" t="n">
        <f aca="false">VLOOKUP($C60,Type!$A$2:$B$4,2,0)</f>
        <v>1</v>
      </c>
    </row>
    <row r="61" customFormat="false" ht="12.8" hidden="false" customHeight="false" outlineLevel="0" collapsed="false">
      <c r="B61" s="2" t="n">
        <v>1</v>
      </c>
      <c r="C61" s="3" t="s">
        <v>51</v>
      </c>
      <c r="D61" s="1" t="s">
        <v>76</v>
      </c>
      <c r="E61" s="1" t="s">
        <v>66</v>
      </c>
      <c r="F61" s="1" t="s">
        <v>67</v>
      </c>
      <c r="G61" s="1" t="s">
        <v>79</v>
      </c>
      <c r="H61" s="4" t="n">
        <f aca="false">VLOOKUP($D61,Size!$A$2:$F$13,6,0)</f>
        <v>7</v>
      </c>
      <c r="J61" s="12" t="n">
        <f aca="false">INT(($B61*$AY61*$AW61*$AZ61)+($B61*$AX61))</f>
        <v>1</v>
      </c>
      <c r="K61" s="4" t="n">
        <f aca="false">ROUND((($B61*$AT61)+($AV61*$AU61)),0)</f>
        <v>1</v>
      </c>
      <c r="L61" s="4" t="n">
        <f aca="false">ROUND((($B61*$AP61)+($B61*$AQ61))*$AR61,0)</f>
        <v>0</v>
      </c>
      <c r="M61" s="4" t="n">
        <f aca="false">ROUND((($B61*$AM61)+($B61*$AN61))*$AO61,0)</f>
        <v>0</v>
      </c>
      <c r="N61" s="4" t="n">
        <f aca="false">ROUND((($B61*$AG61)+($B61*$AH61))*$AI61,0)</f>
        <v>0</v>
      </c>
      <c r="O61" s="4" t="n">
        <f aca="false">ROUND((($B61*$AJ61)+($B61*$AK61))*$AL61,0)</f>
        <v>1</v>
      </c>
      <c r="Q61" s="4" t="n">
        <f aca="false">INT(VLOOKUP($E61,Role!$A$2:$O$9,8,0)*$B61)</f>
        <v>0</v>
      </c>
      <c r="R61" s="4" t="n">
        <f aca="false">INT(VLOOKUP($E61,Role!$A$2:$O$9,9,0)*$B61)</f>
        <v>0</v>
      </c>
      <c r="S61" s="4" t="n">
        <f aca="false">INT(VLOOKUP($E61,Role!$A$2:$P$9,16,0)*$B61*$AS61)</f>
        <v>0</v>
      </c>
      <c r="T61" s="4" t="n">
        <f aca="false">INT(VLOOKUP($D61,Size!$A$2:$Z$13,18,0)*VLOOKUP($E61,Role!$A$2:$O$9,13,0)*$B61/2)</f>
        <v>17</v>
      </c>
      <c r="U61" s="4" t="n">
        <f aca="false">INT(($BB61*$BE61)+($J61*$BC61))</f>
        <v>34</v>
      </c>
      <c r="V61" s="4" t="n">
        <f aca="false">INT((10+$N61)*VLOOKUP($E61,Role!$A$2:$O$9,14,0))</f>
        <v>10</v>
      </c>
      <c r="W61" s="4" t="n">
        <f aca="false">INT($J61*VLOOKUP($E61,Role!$A$2:$O$9,12,0))</f>
        <v>0</v>
      </c>
      <c r="Y61" s="2" t="n">
        <f aca="false">ROUND(MAX($K61,$M61)+(MIN($K61,$M61)*VLOOKUP($E61,Role!$A$2:$O$9,14,0)),0)</f>
        <v>1</v>
      </c>
      <c r="Z61" s="2" t="n">
        <f aca="false">MAX(1,INT(((MIN($J61:$K61)+(MAX($J61:$K61)*$H61*VLOOKUP($E61,Role!$A$2:$O$9,15,0))))*VLOOKUP($G61,Movement!$A$2:$C$7,3,0)))</f>
        <v>12</v>
      </c>
      <c r="AB61" s="5" t="n">
        <f aca="false">INT(5+(($H61-1)/3))</f>
        <v>7</v>
      </c>
      <c r="AC61" s="5" t="n">
        <f aca="false">IF($AB61&lt;$J61,$J61-MAX($AB61,$B61),0)</f>
        <v>0</v>
      </c>
      <c r="AD61" s="5" t="n">
        <f aca="false">(5-ROUND(($H61-1)/3,0))</f>
        <v>3</v>
      </c>
      <c r="AE61" s="5" t="n">
        <f aca="false">IF($AD61&lt;$K61,$K61-MAX($AD61,$B61),0)</f>
        <v>0</v>
      </c>
      <c r="AG61" s="6" t="n">
        <f aca="false">VLOOKUP($F61,Category!$A$2:$AZ$20,24,0)</f>
        <v>0</v>
      </c>
      <c r="AH61" s="6" t="n">
        <f aca="false">VLOOKUP($F61,Category!$A$2:$AZ$20,26,0)</f>
        <v>0.333333333333333</v>
      </c>
      <c r="AI61" s="6" t="n">
        <f aca="false">VLOOKUP($E61,Role!$A$2:$O$9,10,0)</f>
        <v>0.75</v>
      </c>
      <c r="AJ61" s="6" t="n">
        <f aca="false">VLOOKUP($F61,Category!$A$2:$AZ$20,19,0)</f>
        <v>0.0909090909090909</v>
      </c>
      <c r="AK61" s="6" t="n">
        <f aca="false">VLOOKUP($F61,Category!$A$2:$AZ$20,21,0)</f>
        <v>0.545454545454545</v>
      </c>
      <c r="AL61" s="6" t="n">
        <f aca="false">1</f>
        <v>1</v>
      </c>
      <c r="AM61" s="6" t="n">
        <f aca="false">VLOOKUP($F61,Category!$A$2:$AZ$20,19,0)</f>
        <v>0.0909090909090909</v>
      </c>
      <c r="AN61" s="6" t="n">
        <f aca="false">VLOOKUP($F61,Category!$A$2:$AZ$20,21,0)</f>
        <v>0.545454545454545</v>
      </c>
      <c r="AO61" s="6" t="n">
        <f aca="false">VLOOKUP($E61,Role!$A$2:$O$9,10,0)</f>
        <v>0.75</v>
      </c>
      <c r="AP61" s="6" t="n">
        <f aca="false">VLOOKUP($F61,Category!$A$2:$AZ$20,9,0)</f>
        <v>0</v>
      </c>
      <c r="AQ61" s="6" t="n">
        <f aca="false">VLOOKUP($F61,Category!$A$2:$AZ$20,11,0)</f>
        <v>0.555555555555556</v>
      </c>
      <c r="AR61" s="6" t="n">
        <f aca="false">VLOOKUP($E61,Role!$A$2:$O$9,10,0)</f>
        <v>0.75</v>
      </c>
      <c r="AS61" s="6" t="n">
        <f aca="false">VLOOKUP($F61,Category!$A$2:$AZ$20,10,0)</f>
        <v>0.555555555555556</v>
      </c>
      <c r="AT61" s="7" t="n">
        <f aca="false">VLOOKUP($F61,Category!$A$2:$AZ$20,14,0)</f>
        <v>0.416666666666667</v>
      </c>
      <c r="AU61" s="7" t="n">
        <f aca="false">VLOOKUP($F61,Category!$A$2:$AZ$20,16,0)</f>
        <v>0.25</v>
      </c>
      <c r="AV61" s="7" t="n">
        <f aca="false">VLOOKUP($D61,Size!$A$2:$Z$13,17,0)</f>
        <v>2</v>
      </c>
      <c r="AW61" s="7" t="n">
        <f aca="false">VLOOKUP($F61,Category!$A$2:$AZ$20,29,0)</f>
        <v>0.333333333333333</v>
      </c>
      <c r="AX61" s="7" t="n">
        <f aca="false">VLOOKUP($F61,Category!$A$2:$AZ$20,31,0)</f>
        <v>0.333333333333333</v>
      </c>
      <c r="AY61" s="7" t="n">
        <f aca="false">VLOOKUP($D61,Size!$A$2:$Z$13,16,0)</f>
        <v>5</v>
      </c>
      <c r="AZ61" s="7" t="n">
        <f aca="false">VLOOKUP($E61,Role!$A$2:$O$9,11,0)</f>
        <v>0.75</v>
      </c>
      <c r="BB61" s="5" t="n">
        <f aca="false">VLOOKUP($D61,Size!$A$2:$Z$13,19,0)</f>
        <v>22</v>
      </c>
      <c r="BC61" s="5" t="n">
        <f aca="false">VLOOKUP($D61,Size!$A$2:$Z$13,20,0)</f>
        <v>12</v>
      </c>
      <c r="BD61" s="5" t="n">
        <f aca="false">VLOOKUP($E61,Role!$A$2:$O$9,13,0)</f>
        <v>0.75</v>
      </c>
      <c r="BE61" s="5" t="n">
        <f aca="false">VLOOKUP($C61,Type!$A$2:$B$4,2,0)</f>
        <v>1</v>
      </c>
    </row>
    <row r="62" customFormat="false" ht="12.8" hidden="false" customHeight="false" outlineLevel="0" collapsed="false">
      <c r="C62" s="3" t="s">
        <v>51</v>
      </c>
      <c r="J62" s="12" t="e">
        <f aca="false">INT(($B62*$AY62*$AW62*$AZ62)+($B62*$AX62))</f>
        <v>#N/A</v>
      </c>
      <c r="K62" s="4" t="e">
        <f aca="false">ROUND((($B62*$AT62)+($AV62*$AU62)),0)</f>
        <v>#N/A</v>
      </c>
      <c r="L62" s="4" t="e">
        <f aca="false">ROUND((($B62*$AP62)+($B62*$AQ62))*$AR62,0)</f>
        <v>#N/A</v>
      </c>
      <c r="M62" s="4" t="e">
        <f aca="false">ROUND((($B62*$AM62)+($B62*$AN62))*$AO62,0)</f>
        <v>#N/A</v>
      </c>
      <c r="N62" s="4" t="e">
        <f aca="false">ROUND((($B62*$AG62)+($B62*$AH62))*$AI62,0)</f>
        <v>#N/A</v>
      </c>
      <c r="O62" s="4" t="e">
        <f aca="false">ROUND((($B62*$AJ62)+($B62*$AK62))*$AL62,0)</f>
        <v>#N/A</v>
      </c>
      <c r="S62" s="4" t="e">
        <f aca="false">INT(VLOOKUP($E62,Role!$A$2:$P$9,16,0)*$B62*$AS62)</f>
        <v>#N/A</v>
      </c>
      <c r="U62" s="4" t="e">
        <f aca="false">INT(($BB62*$BE62)+($J62*$BC62))</f>
        <v>#N/A</v>
      </c>
      <c r="AC62" s="5" t="e">
        <f aca="false">IF($AB62&lt;$J62,$J62-MAX($AB62,$B62),0)</f>
        <v>#N/A</v>
      </c>
      <c r="AE62" s="5" t="e">
        <f aca="false">IF($AD62&lt;$K62,$K62-MAX($AD62,$B62),0)</f>
        <v>#N/A</v>
      </c>
      <c r="AG62" s="6" t="e">
        <f aca="false">VLOOKUP($F62,Category!$A$2:$AZ$20,24,0)</f>
        <v>#N/A</v>
      </c>
      <c r="AH62" s="6" t="e">
        <f aca="false">VLOOKUP($F62,Category!$A$2:$AZ$20,26,0)</f>
        <v>#N/A</v>
      </c>
      <c r="AI62" s="6" t="e">
        <f aca="false">VLOOKUP($E62,Role!$A$2:$O$9,10,0)</f>
        <v>#N/A</v>
      </c>
      <c r="AJ62" s="6" t="e">
        <f aca="false">VLOOKUP($F62,Category!$A$2:$AZ$20,19,0)</f>
        <v>#N/A</v>
      </c>
      <c r="AK62" s="6" t="e">
        <f aca="false">VLOOKUP($F62,Category!$A$2:$AZ$20,21,0)</f>
        <v>#N/A</v>
      </c>
      <c r="AL62" s="6" t="n">
        <f aca="false">1</f>
        <v>1</v>
      </c>
      <c r="AM62" s="6" t="e">
        <f aca="false">VLOOKUP($F62,Category!$A$2:$AZ$20,19,0)</f>
        <v>#N/A</v>
      </c>
      <c r="AN62" s="6" t="e">
        <f aca="false">VLOOKUP($F62,Category!$A$2:$AZ$20,21,0)</f>
        <v>#N/A</v>
      </c>
      <c r="AO62" s="6" t="e">
        <f aca="false">VLOOKUP($E62,Role!$A$2:$O$9,10,0)</f>
        <v>#N/A</v>
      </c>
      <c r="AP62" s="6" t="e">
        <f aca="false">VLOOKUP($F62,Category!$A$2:$AZ$20,9,0)</f>
        <v>#N/A</v>
      </c>
      <c r="AQ62" s="6" t="e">
        <f aca="false">VLOOKUP($F62,Category!$A$2:$AZ$20,11,0)</f>
        <v>#N/A</v>
      </c>
      <c r="AR62" s="6" t="e">
        <f aca="false">VLOOKUP($E62,Role!$A$2:$O$9,10,0)</f>
        <v>#N/A</v>
      </c>
      <c r="AS62" s="6" t="e">
        <f aca="false">VLOOKUP($F62,Category!$A$2:$AZ$20,10,0)</f>
        <v>#N/A</v>
      </c>
      <c r="AT62" s="7" t="e">
        <f aca="false">VLOOKUP($F62,Category!$A$2:$AZ$20,14,0)</f>
        <v>#N/A</v>
      </c>
      <c r="AU62" s="7" t="e">
        <f aca="false">VLOOKUP($F62,Category!$A$2:$AZ$20,16,0)</f>
        <v>#N/A</v>
      </c>
      <c r="AV62" s="7" t="e">
        <f aca="false">VLOOKUP($D62,Size!$A$2:$Z$13,17,0)</f>
        <v>#N/A</v>
      </c>
      <c r="AW62" s="7" t="e">
        <f aca="false">VLOOKUP($F62,Category!$A$2:$AZ$20,29,0)</f>
        <v>#N/A</v>
      </c>
      <c r="AX62" s="7" t="e">
        <f aca="false">VLOOKUP($F62,Category!$A$2:$AZ$20,31,0)</f>
        <v>#N/A</v>
      </c>
      <c r="AY62" s="7" t="e">
        <f aca="false">VLOOKUP($D62,Size!$A$2:$Z$13,16,0)</f>
        <v>#N/A</v>
      </c>
      <c r="AZ62" s="7" t="e">
        <f aca="false">VLOOKUP($E62,Role!$A$2:$O$9,11,0)</f>
        <v>#N/A</v>
      </c>
      <c r="BB62" s="5" t="e">
        <f aca="false">VLOOKUP($D62,Size!$A$2:$Z$13,19,0)</f>
        <v>#N/A</v>
      </c>
      <c r="BC62" s="5" t="e">
        <f aca="false">VLOOKUP($D62,Size!$A$2:$Z$13,20,0)</f>
        <v>#N/A</v>
      </c>
      <c r="BD62" s="5" t="e">
        <f aca="false">VLOOKUP($E62,Role!$A$2:$O$9,13,0)</f>
        <v>#N/A</v>
      </c>
      <c r="BE62" s="5" t="n">
        <f aca="false">VLOOKUP($C62,Type!$A$2:$B$4,2,0)</f>
        <v>1</v>
      </c>
    </row>
    <row r="63" customFormat="false" ht="12.8" hidden="false" customHeight="false" outlineLevel="0" collapsed="false">
      <c r="B63" s="2" t="n">
        <v>2</v>
      </c>
      <c r="C63" s="3" t="s">
        <v>51</v>
      </c>
      <c r="D63" s="1" t="s">
        <v>65</v>
      </c>
      <c r="E63" s="1" t="s">
        <v>66</v>
      </c>
      <c r="F63" s="1" t="s">
        <v>67</v>
      </c>
      <c r="G63" s="1" t="s">
        <v>79</v>
      </c>
      <c r="H63" s="4" t="n">
        <f aca="false">VLOOKUP($D63,Size!$A$2:$F$13,6,0)</f>
        <v>-3</v>
      </c>
      <c r="J63" s="12" t="n">
        <f aca="false">INT(($B63*$AY63*$AW63*$AZ63)+($B63*$AX63))</f>
        <v>1</v>
      </c>
      <c r="K63" s="4" t="n">
        <f aca="false">ROUND((($B63*$AT63)+($AV63*$AU63)),0)</f>
        <v>2</v>
      </c>
      <c r="L63" s="4" t="n">
        <f aca="false">ROUND((($B63*$AP63)+($B63*$AQ63))*$AR63,0)</f>
        <v>1</v>
      </c>
      <c r="M63" s="4" t="n">
        <f aca="false">ROUND((($B63*$AM63)+($B63*$AN63))*$AO63,0)</f>
        <v>1</v>
      </c>
      <c r="N63" s="4" t="n">
        <f aca="false">ROUND((($B63*$AG63)+($B63*$AH63))*$AI63,0)</f>
        <v>1</v>
      </c>
      <c r="O63" s="4" t="n">
        <f aca="false">ROUND((($B63*$AJ63)+($B63*$AK63))*$AL63,0)</f>
        <v>1</v>
      </c>
      <c r="Q63" s="4" t="n">
        <f aca="false">INT(VLOOKUP($E63,Role!$A$2:$O$9,8,0)*$B63)</f>
        <v>1</v>
      </c>
      <c r="R63" s="4" t="n">
        <f aca="false">INT(VLOOKUP($E63,Role!$A$2:$O$9,9,0)*$B63)</f>
        <v>1</v>
      </c>
      <c r="S63" s="4" t="n">
        <f aca="false">INT(VLOOKUP($E63,Role!$A$2:$P$9,16,0)*$B63*$AS63)</f>
        <v>0</v>
      </c>
      <c r="T63" s="4" t="n">
        <f aca="false">INT(VLOOKUP($D63,Size!$A$2:$Z$13,18,0)*VLOOKUP($E63,Role!$A$2:$O$9,13,0)*$B63/2)</f>
        <v>2</v>
      </c>
      <c r="U63" s="4" t="n">
        <f aca="false">INT(($BB63*$BE63)+($J63*$BC63))</f>
        <v>6</v>
      </c>
      <c r="V63" s="4" t="n">
        <f aca="false">INT((10+$N63)*VLOOKUP($E63,Role!$A$2:$O$9,14,0))</f>
        <v>11</v>
      </c>
      <c r="W63" s="4" t="n">
        <f aca="false">INT($J63*VLOOKUP($E63,Role!$A$2:$O$9,12,0))</f>
        <v>0</v>
      </c>
      <c r="Y63" s="2" t="n">
        <f aca="false">ROUND(MAX($K63,$M63)+(MIN($K63,$M63)*VLOOKUP($E63,Role!$A$2:$O$9,14,0)),0)</f>
        <v>3</v>
      </c>
      <c r="Z63" s="2" t="n">
        <f aca="false">MAX(1,INT(((MIN($J63:$K63)+(MAX($J63:$K63)*$H63*VLOOKUP($E63,Role!$A$2:$O$9,15,0))))*VLOOKUP($G63,Movement!$A$2:$C$7,3,0)))</f>
        <v>1</v>
      </c>
      <c r="AB63" s="5" t="n">
        <f aca="false">INT(5+(($H63-1)/3))</f>
        <v>3</v>
      </c>
      <c r="AC63" s="5" t="n">
        <f aca="false">IF($AB63&lt;$J63,$J63-MAX($AB63,$B63),0)</f>
        <v>0</v>
      </c>
      <c r="AD63" s="5" t="n">
        <f aca="false">(5-ROUND(($H63-1)/3,0))</f>
        <v>6</v>
      </c>
      <c r="AE63" s="5" t="n">
        <f aca="false">IF($AD63&lt;$K63,$K63-MAX($AD63,$B63),0)</f>
        <v>0</v>
      </c>
      <c r="AG63" s="6" t="n">
        <f aca="false">VLOOKUP($F63,Category!$A$2:$AZ$20,24,0)</f>
        <v>0</v>
      </c>
      <c r="AH63" s="6" t="n">
        <f aca="false">VLOOKUP($F63,Category!$A$2:$AZ$20,26,0)</f>
        <v>0.333333333333333</v>
      </c>
      <c r="AI63" s="6" t="n">
        <f aca="false">VLOOKUP($E63,Role!$A$2:$O$9,10,0)</f>
        <v>0.75</v>
      </c>
      <c r="AJ63" s="6" t="n">
        <f aca="false">VLOOKUP($F63,Category!$A$2:$AZ$20,19,0)</f>
        <v>0.0909090909090909</v>
      </c>
      <c r="AK63" s="6" t="n">
        <f aca="false">VLOOKUP($F63,Category!$A$2:$AZ$20,21,0)</f>
        <v>0.545454545454545</v>
      </c>
      <c r="AL63" s="6" t="n">
        <f aca="false">1</f>
        <v>1</v>
      </c>
      <c r="AM63" s="6" t="n">
        <f aca="false">VLOOKUP($F63,Category!$A$2:$AZ$20,19,0)</f>
        <v>0.0909090909090909</v>
      </c>
      <c r="AN63" s="6" t="n">
        <f aca="false">VLOOKUP($F63,Category!$A$2:$AZ$20,21,0)</f>
        <v>0.545454545454545</v>
      </c>
      <c r="AO63" s="6" t="n">
        <f aca="false">VLOOKUP($E63,Role!$A$2:$O$9,10,0)</f>
        <v>0.75</v>
      </c>
      <c r="AP63" s="6" t="n">
        <f aca="false">VLOOKUP($F63,Category!$A$2:$AZ$20,9,0)</f>
        <v>0</v>
      </c>
      <c r="AQ63" s="6" t="n">
        <f aca="false">VLOOKUP($F63,Category!$A$2:$AZ$20,11,0)</f>
        <v>0.555555555555556</v>
      </c>
      <c r="AR63" s="6" t="n">
        <f aca="false">VLOOKUP($E63,Role!$A$2:$O$9,10,0)</f>
        <v>0.75</v>
      </c>
      <c r="AS63" s="6" t="n">
        <f aca="false">VLOOKUP($F63,Category!$A$2:$AZ$20,10,0)</f>
        <v>0.555555555555556</v>
      </c>
      <c r="AT63" s="7" t="n">
        <f aca="false">VLOOKUP($F63,Category!$A$2:$AZ$20,14,0)</f>
        <v>0.416666666666667</v>
      </c>
      <c r="AU63" s="7" t="n">
        <f aca="false">VLOOKUP($F63,Category!$A$2:$AZ$20,16,0)</f>
        <v>0.25</v>
      </c>
      <c r="AV63" s="7" t="n">
        <f aca="false">VLOOKUP($D63,Size!$A$2:$Z$13,17,0)</f>
        <v>4</v>
      </c>
      <c r="AW63" s="7" t="n">
        <f aca="false">VLOOKUP($F63,Category!$A$2:$AZ$20,29,0)</f>
        <v>0.333333333333333</v>
      </c>
      <c r="AX63" s="7" t="n">
        <f aca="false">VLOOKUP($F63,Category!$A$2:$AZ$20,31,0)</f>
        <v>0.333333333333333</v>
      </c>
      <c r="AY63" s="7" t="n">
        <f aca="false">VLOOKUP($D63,Size!$A$2:$Z$13,16,0)</f>
        <v>1</v>
      </c>
      <c r="AZ63" s="7" t="n">
        <f aca="false">VLOOKUP($E63,Role!$A$2:$O$9,11,0)</f>
        <v>0.75</v>
      </c>
      <c r="BB63" s="5" t="n">
        <f aca="false">VLOOKUP($D63,Size!$A$2:$Z$13,19,0)</f>
        <v>6</v>
      </c>
      <c r="BC63" s="5" t="n">
        <f aca="false">VLOOKUP($D63,Size!$A$2:$Z$13,20,0)</f>
        <v>0.33</v>
      </c>
      <c r="BD63" s="5" t="n">
        <f aca="false">VLOOKUP($E63,Role!$A$2:$O$9,13,0)</f>
        <v>0.75</v>
      </c>
      <c r="BE63" s="5" t="n">
        <f aca="false">VLOOKUP($C63,Type!$A$2:$B$4,2,0)</f>
        <v>1</v>
      </c>
    </row>
    <row r="64" customFormat="false" ht="12.8" hidden="false" customHeight="false" outlineLevel="0" collapsed="false">
      <c r="B64" s="2" t="n">
        <v>2</v>
      </c>
      <c r="C64" s="3" t="s">
        <v>51</v>
      </c>
      <c r="D64" s="1" t="s">
        <v>68</v>
      </c>
      <c r="E64" s="1" t="s">
        <v>66</v>
      </c>
      <c r="F64" s="1" t="s">
        <v>67</v>
      </c>
      <c r="G64" s="1" t="s">
        <v>79</v>
      </c>
      <c r="H64" s="4" t="n">
        <f aca="false">VLOOKUP($D64,Size!$A$2:$F$13,6,0)</f>
        <v>-2</v>
      </c>
      <c r="J64" s="12" t="n">
        <f aca="false">INT(($B64*$AY64*$AW64*$AZ64)+($B64*$AX64))</f>
        <v>1</v>
      </c>
      <c r="K64" s="4" t="n">
        <f aca="false">ROUND((($B64*$AT64)+($AV64*$AU64)),0)</f>
        <v>2</v>
      </c>
      <c r="L64" s="4" t="n">
        <f aca="false">ROUND((($B64*$AP64)+($B64*$AQ64))*$AR64,0)</f>
        <v>1</v>
      </c>
      <c r="M64" s="4" t="n">
        <f aca="false">ROUND((($B64*$AM64)+($B64*$AN64))*$AO64,0)</f>
        <v>1</v>
      </c>
      <c r="N64" s="4" t="n">
        <f aca="false">ROUND((($B64*$AG64)+($B64*$AH64))*$AI64,0)</f>
        <v>1</v>
      </c>
      <c r="O64" s="4" t="n">
        <f aca="false">ROUND((($B64*$AJ64)+($B64*$AK64))*$AL64,0)</f>
        <v>1</v>
      </c>
      <c r="Q64" s="4" t="n">
        <f aca="false">INT(VLOOKUP($E64,Role!$A$2:$O$9,8,0)*$B64)</f>
        <v>1</v>
      </c>
      <c r="R64" s="4" t="n">
        <f aca="false">INT(VLOOKUP($E64,Role!$A$2:$O$9,9,0)*$B64)</f>
        <v>1</v>
      </c>
      <c r="S64" s="4" t="n">
        <f aca="false">INT(VLOOKUP($E64,Role!$A$2:$P$9,16,0)*$B64*$AS64)</f>
        <v>0</v>
      </c>
      <c r="T64" s="4" t="n">
        <f aca="false">INT(VLOOKUP($D64,Size!$A$2:$Z$13,18,0)*VLOOKUP($E64,Role!$A$2:$O$9,13,0)*$B64/2)</f>
        <v>4</v>
      </c>
      <c r="U64" s="4" t="n">
        <f aca="false">INT(($BB64*$BE64)+($J64*$BC64))</f>
        <v>7</v>
      </c>
      <c r="V64" s="4" t="n">
        <f aca="false">INT((10+$N64)*VLOOKUP($E64,Role!$A$2:$O$9,14,0))</f>
        <v>11</v>
      </c>
      <c r="W64" s="4" t="n">
        <f aca="false">INT($J64*VLOOKUP($E64,Role!$A$2:$O$9,12,0))</f>
        <v>0</v>
      </c>
      <c r="Y64" s="2" t="n">
        <f aca="false">ROUND(MAX($K64,$M64)+(MIN($K64,$M64)*VLOOKUP($E64,Role!$A$2:$O$9,14,0)),0)</f>
        <v>3</v>
      </c>
      <c r="Z64" s="2" t="n">
        <f aca="false">MAX(1,INT(((MIN($J64:$K64)+(MAX($J64:$K64)*$H64*VLOOKUP($E64,Role!$A$2:$O$9,15,0))))*VLOOKUP($G64,Movement!$A$2:$C$7,3,0)))</f>
        <v>1</v>
      </c>
      <c r="AB64" s="5" t="n">
        <f aca="false">INT(5+(($H64-1)/3))</f>
        <v>4</v>
      </c>
      <c r="AC64" s="5" t="n">
        <f aca="false">IF($AB64&lt;$J64,$J64-MAX($AB64,$B64),0)</f>
        <v>0</v>
      </c>
      <c r="AD64" s="5" t="n">
        <f aca="false">(5-ROUND(($H64-1)/3,0))</f>
        <v>6</v>
      </c>
      <c r="AE64" s="5" t="n">
        <f aca="false">IF($AD64&lt;$K64,$K64-MAX($AD64,$B64),0)</f>
        <v>0</v>
      </c>
      <c r="AG64" s="6" t="n">
        <f aca="false">VLOOKUP($F64,Category!$A$2:$AZ$20,24,0)</f>
        <v>0</v>
      </c>
      <c r="AH64" s="6" t="n">
        <f aca="false">VLOOKUP($F64,Category!$A$2:$AZ$20,26,0)</f>
        <v>0.333333333333333</v>
      </c>
      <c r="AI64" s="6" t="n">
        <f aca="false">VLOOKUP($E64,Role!$A$2:$O$9,10,0)</f>
        <v>0.75</v>
      </c>
      <c r="AJ64" s="6" t="n">
        <f aca="false">VLOOKUP($F64,Category!$A$2:$AZ$20,19,0)</f>
        <v>0.0909090909090909</v>
      </c>
      <c r="AK64" s="6" t="n">
        <f aca="false">VLOOKUP($F64,Category!$A$2:$AZ$20,21,0)</f>
        <v>0.545454545454545</v>
      </c>
      <c r="AL64" s="6" t="n">
        <f aca="false">1</f>
        <v>1</v>
      </c>
      <c r="AM64" s="6" t="n">
        <f aca="false">VLOOKUP($F64,Category!$A$2:$AZ$20,19,0)</f>
        <v>0.0909090909090909</v>
      </c>
      <c r="AN64" s="6" t="n">
        <f aca="false">VLOOKUP($F64,Category!$A$2:$AZ$20,21,0)</f>
        <v>0.545454545454545</v>
      </c>
      <c r="AO64" s="6" t="n">
        <f aca="false">VLOOKUP($E64,Role!$A$2:$O$9,10,0)</f>
        <v>0.75</v>
      </c>
      <c r="AP64" s="6" t="n">
        <f aca="false">VLOOKUP($F64,Category!$A$2:$AZ$20,9,0)</f>
        <v>0</v>
      </c>
      <c r="AQ64" s="6" t="n">
        <f aca="false">VLOOKUP($F64,Category!$A$2:$AZ$20,11,0)</f>
        <v>0.555555555555556</v>
      </c>
      <c r="AR64" s="6" t="n">
        <f aca="false">VLOOKUP($E64,Role!$A$2:$O$9,10,0)</f>
        <v>0.75</v>
      </c>
      <c r="AS64" s="6" t="n">
        <f aca="false">VLOOKUP($F64,Category!$A$2:$AZ$20,10,0)</f>
        <v>0.555555555555556</v>
      </c>
      <c r="AT64" s="7" t="n">
        <f aca="false">VLOOKUP($F64,Category!$A$2:$AZ$20,14,0)</f>
        <v>0.416666666666667</v>
      </c>
      <c r="AU64" s="7" t="n">
        <f aca="false">VLOOKUP($F64,Category!$A$2:$AZ$20,16,0)</f>
        <v>0.25</v>
      </c>
      <c r="AV64" s="7" t="n">
        <f aca="false">VLOOKUP($D64,Size!$A$2:$Z$13,17,0)</f>
        <v>3</v>
      </c>
      <c r="AW64" s="7" t="n">
        <f aca="false">VLOOKUP($F64,Category!$A$2:$AZ$20,29,0)</f>
        <v>0.333333333333333</v>
      </c>
      <c r="AX64" s="7" t="n">
        <f aca="false">VLOOKUP($F64,Category!$A$2:$AZ$20,31,0)</f>
        <v>0.333333333333333</v>
      </c>
      <c r="AY64" s="7" t="n">
        <f aca="false">VLOOKUP($D64,Size!$A$2:$Z$13,16,0)</f>
        <v>2</v>
      </c>
      <c r="AZ64" s="7" t="n">
        <f aca="false">VLOOKUP($E64,Role!$A$2:$O$9,11,0)</f>
        <v>0.75</v>
      </c>
      <c r="BB64" s="5" t="n">
        <f aca="false">VLOOKUP($D64,Size!$A$2:$Z$13,19,0)</f>
        <v>7</v>
      </c>
      <c r="BC64" s="5" t="n">
        <f aca="false">VLOOKUP($D64,Size!$A$2:$Z$13,20,0)</f>
        <v>0.5</v>
      </c>
      <c r="BD64" s="5" t="n">
        <f aca="false">VLOOKUP($E64,Role!$A$2:$O$9,13,0)</f>
        <v>0.75</v>
      </c>
      <c r="BE64" s="5" t="n">
        <f aca="false">VLOOKUP($C64,Type!$A$2:$B$4,2,0)</f>
        <v>1</v>
      </c>
    </row>
    <row r="65" customFormat="false" ht="12.8" hidden="false" customHeight="false" outlineLevel="0" collapsed="false">
      <c r="B65" s="2" t="n">
        <v>2</v>
      </c>
      <c r="C65" s="3" t="s">
        <v>51</v>
      </c>
      <c r="D65" s="1" t="s">
        <v>69</v>
      </c>
      <c r="E65" s="1" t="s">
        <v>66</v>
      </c>
      <c r="F65" s="1" t="s">
        <v>67</v>
      </c>
      <c r="G65" s="1" t="s">
        <v>79</v>
      </c>
      <c r="H65" s="4" t="n">
        <f aca="false">VLOOKUP($D65,Size!$A$2:$F$13,6,0)</f>
        <v>-1</v>
      </c>
      <c r="J65" s="12" t="n">
        <f aca="false">INT(($B65*$AY65*$AW65*$AZ65)+($B65*$AX65))</f>
        <v>1</v>
      </c>
      <c r="K65" s="4" t="n">
        <f aca="false">ROUND((($B65*$AT65)+($AV65*$AU65)),0)</f>
        <v>2</v>
      </c>
      <c r="L65" s="4" t="n">
        <f aca="false">ROUND((($B65*$AP65)+($B65*$AQ65))*$AR65,0)</f>
        <v>1</v>
      </c>
      <c r="M65" s="4" t="n">
        <f aca="false">ROUND((($B65*$AM65)+($B65*$AN65))*$AO65,0)</f>
        <v>1</v>
      </c>
      <c r="N65" s="4" t="n">
        <f aca="false">ROUND((($B65*$AG65)+($B65*$AH65))*$AI65,0)</f>
        <v>1</v>
      </c>
      <c r="O65" s="4" t="n">
        <f aca="false">ROUND((($B65*$AJ65)+($B65*$AK65))*$AL65,0)</f>
        <v>1</v>
      </c>
      <c r="Q65" s="4" t="n">
        <f aca="false">INT(VLOOKUP($E65,Role!$A$2:$O$9,8,0)*$B65)</f>
        <v>1</v>
      </c>
      <c r="R65" s="4" t="n">
        <f aca="false">INT(VLOOKUP($E65,Role!$A$2:$O$9,9,0)*$B65)</f>
        <v>1</v>
      </c>
      <c r="S65" s="4" t="n">
        <f aca="false">INT(VLOOKUP($E65,Role!$A$2:$P$9,16,0)*$B65*$AS65)</f>
        <v>0</v>
      </c>
      <c r="T65" s="4" t="n">
        <f aca="false">INT(VLOOKUP($D65,Size!$A$2:$Z$13,18,0)*VLOOKUP($E65,Role!$A$2:$O$9,13,0)*$B65/2)</f>
        <v>6</v>
      </c>
      <c r="U65" s="4" t="n">
        <f aca="false">INT(($BB65*$BE65)+($J65*$BC65))</f>
        <v>8</v>
      </c>
      <c r="V65" s="4" t="n">
        <f aca="false">INT((10+$N65)*VLOOKUP($E65,Role!$A$2:$O$9,14,0))</f>
        <v>11</v>
      </c>
      <c r="W65" s="4" t="n">
        <f aca="false">INT($J65*VLOOKUP($E65,Role!$A$2:$O$9,12,0))</f>
        <v>0</v>
      </c>
      <c r="Y65" s="2" t="n">
        <f aca="false">ROUND(MAX($K65,$M65)+(MIN($K65,$M65)*VLOOKUP($E65,Role!$A$2:$O$9,14,0)),0)</f>
        <v>3</v>
      </c>
      <c r="Z65" s="2" t="n">
        <f aca="false">MAX(1,INT(((MIN($J65:$K65)+(MAX($J65:$K65)*$H65*VLOOKUP($E65,Role!$A$2:$O$9,15,0))))*VLOOKUP($G65,Movement!$A$2:$C$7,3,0)))</f>
        <v>1</v>
      </c>
      <c r="AB65" s="5" t="n">
        <f aca="false">INT(5+(($H65-1)/3))</f>
        <v>4</v>
      </c>
      <c r="AC65" s="5" t="n">
        <f aca="false">IF($AB65&lt;$J65,$J65-MAX($AB65,$B65),0)</f>
        <v>0</v>
      </c>
      <c r="AD65" s="5" t="n">
        <f aca="false">(5-ROUND(($H65-1)/3,0))</f>
        <v>6</v>
      </c>
      <c r="AE65" s="5" t="n">
        <f aca="false">IF($AD65&lt;$K65,$K65-MAX($AD65,$B65),0)</f>
        <v>0</v>
      </c>
      <c r="AG65" s="6" t="n">
        <f aca="false">VLOOKUP($F65,Category!$A$2:$AZ$20,24,0)</f>
        <v>0</v>
      </c>
      <c r="AH65" s="6" t="n">
        <f aca="false">VLOOKUP($F65,Category!$A$2:$AZ$20,26,0)</f>
        <v>0.333333333333333</v>
      </c>
      <c r="AI65" s="6" t="n">
        <f aca="false">VLOOKUP($E65,Role!$A$2:$O$9,10,0)</f>
        <v>0.75</v>
      </c>
      <c r="AJ65" s="6" t="n">
        <f aca="false">VLOOKUP($F65,Category!$A$2:$AZ$20,19,0)</f>
        <v>0.0909090909090909</v>
      </c>
      <c r="AK65" s="6" t="n">
        <f aca="false">VLOOKUP($F65,Category!$A$2:$AZ$20,21,0)</f>
        <v>0.545454545454545</v>
      </c>
      <c r="AL65" s="6" t="n">
        <f aca="false">1</f>
        <v>1</v>
      </c>
      <c r="AM65" s="6" t="n">
        <f aca="false">VLOOKUP($F65,Category!$A$2:$AZ$20,19,0)</f>
        <v>0.0909090909090909</v>
      </c>
      <c r="AN65" s="6" t="n">
        <f aca="false">VLOOKUP($F65,Category!$A$2:$AZ$20,21,0)</f>
        <v>0.545454545454545</v>
      </c>
      <c r="AO65" s="6" t="n">
        <f aca="false">VLOOKUP($E65,Role!$A$2:$O$9,10,0)</f>
        <v>0.75</v>
      </c>
      <c r="AP65" s="6" t="n">
        <f aca="false">VLOOKUP($F65,Category!$A$2:$AZ$20,9,0)</f>
        <v>0</v>
      </c>
      <c r="AQ65" s="6" t="n">
        <f aca="false">VLOOKUP($F65,Category!$A$2:$AZ$20,11,0)</f>
        <v>0.555555555555556</v>
      </c>
      <c r="AR65" s="6" t="n">
        <f aca="false">VLOOKUP($E65,Role!$A$2:$O$9,10,0)</f>
        <v>0.75</v>
      </c>
      <c r="AS65" s="6" t="n">
        <f aca="false">VLOOKUP($F65,Category!$A$2:$AZ$20,10,0)</f>
        <v>0.555555555555556</v>
      </c>
      <c r="AT65" s="7" t="n">
        <f aca="false">VLOOKUP($F65,Category!$A$2:$AZ$20,14,0)</f>
        <v>0.416666666666667</v>
      </c>
      <c r="AU65" s="7" t="n">
        <f aca="false">VLOOKUP($F65,Category!$A$2:$AZ$20,16,0)</f>
        <v>0.25</v>
      </c>
      <c r="AV65" s="7" t="n">
        <f aca="false">VLOOKUP($D65,Size!$A$2:$Z$13,17,0)</f>
        <v>3</v>
      </c>
      <c r="AW65" s="7" t="n">
        <f aca="false">VLOOKUP($F65,Category!$A$2:$AZ$20,29,0)</f>
        <v>0.333333333333333</v>
      </c>
      <c r="AX65" s="7" t="n">
        <f aca="false">VLOOKUP($F65,Category!$A$2:$AZ$20,31,0)</f>
        <v>0.333333333333333</v>
      </c>
      <c r="AY65" s="7" t="n">
        <f aca="false">VLOOKUP($D65,Size!$A$2:$Z$13,16,0)</f>
        <v>2</v>
      </c>
      <c r="AZ65" s="7" t="n">
        <f aca="false">VLOOKUP($E65,Role!$A$2:$O$9,11,0)</f>
        <v>0.75</v>
      </c>
      <c r="BB65" s="5" t="n">
        <f aca="false">VLOOKUP($D65,Size!$A$2:$Z$13,19,0)</f>
        <v>8</v>
      </c>
      <c r="BC65" s="5" t="n">
        <f aca="false">VLOOKUP($D65,Size!$A$2:$Z$13,20,0)</f>
        <v>0.66</v>
      </c>
      <c r="BD65" s="5" t="n">
        <f aca="false">VLOOKUP($E65,Role!$A$2:$O$9,13,0)</f>
        <v>0.75</v>
      </c>
      <c r="BE65" s="5" t="n">
        <f aca="false">VLOOKUP($C65,Type!$A$2:$B$4,2,0)</f>
        <v>1</v>
      </c>
    </row>
    <row r="66" customFormat="false" ht="12.8" hidden="false" customHeight="false" outlineLevel="0" collapsed="false">
      <c r="B66" s="2" t="n">
        <v>2</v>
      </c>
      <c r="C66" s="3" t="s">
        <v>51</v>
      </c>
      <c r="D66" s="1" t="s">
        <v>70</v>
      </c>
      <c r="E66" s="1" t="s">
        <v>66</v>
      </c>
      <c r="F66" s="1" t="s">
        <v>67</v>
      </c>
      <c r="G66" s="1" t="s">
        <v>79</v>
      </c>
      <c r="H66" s="4" t="n">
        <f aca="false">VLOOKUP($D66,Size!$A$2:$F$13,6,0)</f>
        <v>0</v>
      </c>
      <c r="J66" s="12" t="n">
        <f aca="false">INT(($B66*$AY66*$AW66*$AZ66)+($B66*$AX66))</f>
        <v>1</v>
      </c>
      <c r="K66" s="4" t="n">
        <f aca="false">ROUND((($B66*$AT66)+($AV66*$AU66)),0)</f>
        <v>2</v>
      </c>
      <c r="L66" s="4" t="n">
        <f aca="false">ROUND((($B66*$AP66)+($B66*$AQ66))*$AR66,0)</f>
        <v>1</v>
      </c>
      <c r="M66" s="4" t="n">
        <f aca="false">ROUND((($B66*$AM66)+($B66*$AN66))*$AO66,0)</f>
        <v>1</v>
      </c>
      <c r="N66" s="4" t="n">
        <f aca="false">ROUND((($B66*$AG66)+($B66*$AH66))*$AI66,0)</f>
        <v>1</v>
      </c>
      <c r="O66" s="4" t="n">
        <f aca="false">ROUND((($B66*$AJ66)+($B66*$AK66))*$AL66,0)</f>
        <v>1</v>
      </c>
      <c r="Q66" s="4" t="n">
        <f aca="false">INT(VLOOKUP($E66,Role!$A$2:$O$9,8,0)*$B66)</f>
        <v>1</v>
      </c>
      <c r="R66" s="4" t="n">
        <f aca="false">INT(VLOOKUP($E66,Role!$A$2:$O$9,9,0)*$B66)</f>
        <v>1</v>
      </c>
      <c r="S66" s="4" t="n">
        <f aca="false">INT(VLOOKUP($E66,Role!$A$2:$P$9,16,0)*$B66*$AS66)</f>
        <v>0</v>
      </c>
      <c r="T66" s="4" t="n">
        <f aca="false">INT(VLOOKUP($D66,Size!$A$2:$Z$13,18,0)*VLOOKUP($E66,Role!$A$2:$O$9,13,0)*$B66/2)</f>
        <v>7</v>
      </c>
      <c r="U66" s="4" t="n">
        <f aca="false">INT(($BB66*$BE66)+($J66*$BC66))</f>
        <v>9</v>
      </c>
      <c r="V66" s="4" t="n">
        <f aca="false">INT((10+$N66)*VLOOKUP($E66,Role!$A$2:$O$9,14,0))</f>
        <v>11</v>
      </c>
      <c r="W66" s="4" t="n">
        <f aca="false">INT($J66*VLOOKUP($E66,Role!$A$2:$O$9,12,0))</f>
        <v>0</v>
      </c>
      <c r="Y66" s="2" t="n">
        <f aca="false">ROUND(MAX($K66,$M66)+(MIN($K66,$M66)*VLOOKUP($E66,Role!$A$2:$O$9,14,0)),0)</f>
        <v>3</v>
      </c>
      <c r="Z66" s="2" t="n">
        <f aca="false">MAX(1,INT(((MIN($J66:$K66)+(MAX($J66:$K66)*$H66*VLOOKUP($E66,Role!$A$2:$O$9,15,0))))*VLOOKUP($G66,Movement!$A$2:$C$7,3,0)))</f>
        <v>1</v>
      </c>
      <c r="AB66" s="5" t="n">
        <f aca="false">INT(5+(($H66-1)/3))</f>
        <v>4</v>
      </c>
      <c r="AC66" s="5" t="n">
        <f aca="false">IF($AB66&lt;$J66,$J66-MAX($AB66,$B66),0)</f>
        <v>0</v>
      </c>
      <c r="AD66" s="5" t="n">
        <f aca="false">(5-ROUND(($H66-1)/3,0))</f>
        <v>5</v>
      </c>
      <c r="AE66" s="5" t="n">
        <f aca="false">IF($AD66&lt;$K66,$K66-MAX($AD66,$B66),0)</f>
        <v>0</v>
      </c>
      <c r="AG66" s="6" t="n">
        <f aca="false">VLOOKUP($F66,Category!$A$2:$AZ$20,24,0)</f>
        <v>0</v>
      </c>
      <c r="AH66" s="6" t="n">
        <f aca="false">VLOOKUP($F66,Category!$A$2:$AZ$20,26,0)</f>
        <v>0.333333333333333</v>
      </c>
      <c r="AI66" s="6" t="n">
        <f aca="false">VLOOKUP($E66,Role!$A$2:$O$9,10,0)</f>
        <v>0.75</v>
      </c>
      <c r="AJ66" s="6" t="n">
        <f aca="false">VLOOKUP($F66,Category!$A$2:$AZ$20,19,0)</f>
        <v>0.0909090909090909</v>
      </c>
      <c r="AK66" s="6" t="n">
        <f aca="false">VLOOKUP($F66,Category!$A$2:$AZ$20,21,0)</f>
        <v>0.545454545454545</v>
      </c>
      <c r="AL66" s="6" t="n">
        <f aca="false">1</f>
        <v>1</v>
      </c>
      <c r="AM66" s="6" t="n">
        <f aca="false">VLOOKUP($F66,Category!$A$2:$AZ$20,19,0)</f>
        <v>0.0909090909090909</v>
      </c>
      <c r="AN66" s="6" t="n">
        <f aca="false">VLOOKUP($F66,Category!$A$2:$AZ$20,21,0)</f>
        <v>0.545454545454545</v>
      </c>
      <c r="AO66" s="6" t="n">
        <f aca="false">VLOOKUP($E66,Role!$A$2:$O$9,10,0)</f>
        <v>0.75</v>
      </c>
      <c r="AP66" s="6" t="n">
        <f aca="false">VLOOKUP($F66,Category!$A$2:$AZ$20,9,0)</f>
        <v>0</v>
      </c>
      <c r="AQ66" s="6" t="n">
        <f aca="false">VLOOKUP($F66,Category!$A$2:$AZ$20,11,0)</f>
        <v>0.555555555555556</v>
      </c>
      <c r="AR66" s="6" t="n">
        <f aca="false">VLOOKUP($E66,Role!$A$2:$O$9,10,0)</f>
        <v>0.75</v>
      </c>
      <c r="AS66" s="6" t="n">
        <f aca="false">VLOOKUP($F66,Category!$A$2:$AZ$20,10,0)</f>
        <v>0.555555555555556</v>
      </c>
      <c r="AT66" s="7" t="n">
        <f aca="false">VLOOKUP($F66,Category!$A$2:$AZ$20,14,0)</f>
        <v>0.416666666666667</v>
      </c>
      <c r="AU66" s="7" t="n">
        <f aca="false">VLOOKUP($F66,Category!$A$2:$AZ$20,16,0)</f>
        <v>0.25</v>
      </c>
      <c r="AV66" s="7" t="n">
        <f aca="false">VLOOKUP($D66,Size!$A$2:$Z$13,17,0)</f>
        <v>3</v>
      </c>
      <c r="AW66" s="7" t="n">
        <f aca="false">VLOOKUP($F66,Category!$A$2:$AZ$20,29,0)</f>
        <v>0.333333333333333</v>
      </c>
      <c r="AX66" s="7" t="n">
        <f aca="false">VLOOKUP($F66,Category!$A$2:$AZ$20,31,0)</f>
        <v>0.333333333333333</v>
      </c>
      <c r="AY66" s="7" t="n">
        <f aca="false">VLOOKUP($D66,Size!$A$2:$Z$13,16,0)</f>
        <v>2</v>
      </c>
      <c r="AZ66" s="7" t="n">
        <f aca="false">VLOOKUP($E66,Role!$A$2:$O$9,11,0)</f>
        <v>0.75</v>
      </c>
      <c r="BB66" s="5" t="n">
        <f aca="false">VLOOKUP($D66,Size!$A$2:$Z$13,19,0)</f>
        <v>9</v>
      </c>
      <c r="BC66" s="5" t="n">
        <f aca="false">VLOOKUP($D66,Size!$A$2:$Z$13,20,0)</f>
        <v>0.75</v>
      </c>
      <c r="BD66" s="5" t="n">
        <f aca="false">VLOOKUP($E66,Role!$A$2:$O$9,13,0)</f>
        <v>0.75</v>
      </c>
      <c r="BE66" s="5" t="n">
        <f aca="false">VLOOKUP($C66,Type!$A$2:$B$4,2,0)</f>
        <v>1</v>
      </c>
    </row>
    <row r="67" customFormat="false" ht="12.8" hidden="false" customHeight="false" outlineLevel="0" collapsed="false">
      <c r="B67" s="2" t="n">
        <v>2</v>
      </c>
      <c r="C67" s="3" t="s">
        <v>51</v>
      </c>
      <c r="D67" s="1" t="s">
        <v>52</v>
      </c>
      <c r="E67" s="1" t="s">
        <v>66</v>
      </c>
      <c r="F67" s="1" t="s">
        <v>67</v>
      </c>
      <c r="G67" s="1" t="s">
        <v>79</v>
      </c>
      <c r="H67" s="4" t="n">
        <f aca="false">VLOOKUP($D67,Size!$A$2:$F$13,6,0)</f>
        <v>1</v>
      </c>
      <c r="J67" s="12" t="n">
        <f aca="false">INT(($B67*$AY67*$AW67*$AZ67)+($B67*$AX67))</f>
        <v>2</v>
      </c>
      <c r="K67" s="4" t="n">
        <f aca="false">ROUND((($B67*$AT67)+($AV67*$AU67)),0)</f>
        <v>2</v>
      </c>
      <c r="L67" s="4" t="n">
        <f aca="false">ROUND((($B67*$AP67)+($B67*$AQ67))*$AR67,0)</f>
        <v>1</v>
      </c>
      <c r="M67" s="4" t="n">
        <f aca="false">ROUND((($B67*$AM67)+($B67*$AN67))*$AO67,0)</f>
        <v>1</v>
      </c>
      <c r="N67" s="4" t="n">
        <f aca="false">ROUND((($B67*$AG67)+($B67*$AH67))*$AI67,0)</f>
        <v>1</v>
      </c>
      <c r="O67" s="4" t="n">
        <f aca="false">ROUND((($B67*$AJ67)+($B67*$AK67))*$AL67,0)</f>
        <v>1</v>
      </c>
      <c r="Q67" s="4" t="n">
        <f aca="false">INT(VLOOKUP($E67,Role!$A$2:$O$9,8,0)*$B67)</f>
        <v>1</v>
      </c>
      <c r="R67" s="4" t="n">
        <f aca="false">INT(VLOOKUP($E67,Role!$A$2:$O$9,9,0)*$B67)</f>
        <v>1</v>
      </c>
      <c r="S67" s="4" t="n">
        <f aca="false">INT(VLOOKUP($E67,Role!$A$2:$P$9,16,0)*$B67*$AS67)</f>
        <v>0</v>
      </c>
      <c r="T67" s="4" t="n">
        <f aca="false">INT(VLOOKUP($D67,Size!$A$2:$Z$13,18,0)*VLOOKUP($E67,Role!$A$2:$O$9,13,0)*$B67/2)</f>
        <v>9</v>
      </c>
      <c r="U67" s="4" t="n">
        <f aca="false">INT(($BB67*$BE67)+($J67*$BC67))</f>
        <v>12</v>
      </c>
      <c r="V67" s="4" t="n">
        <f aca="false">INT((10+$N67)*VLOOKUP($E67,Role!$A$2:$O$9,14,0))</f>
        <v>11</v>
      </c>
      <c r="W67" s="4" t="n">
        <f aca="false">INT($J67*VLOOKUP($E67,Role!$A$2:$O$9,12,0))</f>
        <v>1</v>
      </c>
      <c r="Y67" s="2" t="n">
        <f aca="false">ROUND(MAX($K67,$M67)+(MIN($K67,$M67)*VLOOKUP($E67,Role!$A$2:$O$9,14,0)),0)</f>
        <v>3</v>
      </c>
      <c r="Z67" s="2" t="n">
        <f aca="false">MAX(1,INT(((MIN($J67:$K67)+(MAX($J67:$K67)*$H67*VLOOKUP($E67,Role!$A$2:$O$9,15,0))))*VLOOKUP($G67,Movement!$A$2:$C$7,3,0)))</f>
        <v>6</v>
      </c>
      <c r="AB67" s="5" t="n">
        <f aca="false">INT(5+(($H67-1)/3))</f>
        <v>5</v>
      </c>
      <c r="AC67" s="5" t="n">
        <f aca="false">IF($AB67&lt;$J67,$J67-MAX($AB67,$B67),0)</f>
        <v>0</v>
      </c>
      <c r="AD67" s="5" t="n">
        <f aca="false">(5-ROUND(($H67-1)/3,0))</f>
        <v>5</v>
      </c>
      <c r="AE67" s="5" t="n">
        <f aca="false">IF($AD67&lt;$K67,$K67-MAX($AD67,$B67),0)</f>
        <v>0</v>
      </c>
      <c r="AG67" s="6" t="n">
        <f aca="false">VLOOKUP($F67,Category!$A$2:$AZ$20,24,0)</f>
        <v>0</v>
      </c>
      <c r="AH67" s="6" t="n">
        <f aca="false">VLOOKUP($F67,Category!$A$2:$AZ$20,26,0)</f>
        <v>0.333333333333333</v>
      </c>
      <c r="AI67" s="6" t="n">
        <f aca="false">VLOOKUP($E67,Role!$A$2:$O$9,10,0)</f>
        <v>0.75</v>
      </c>
      <c r="AJ67" s="6" t="n">
        <f aca="false">VLOOKUP($F67,Category!$A$2:$AZ$20,19,0)</f>
        <v>0.0909090909090909</v>
      </c>
      <c r="AK67" s="6" t="n">
        <f aca="false">VLOOKUP($F67,Category!$A$2:$AZ$20,21,0)</f>
        <v>0.545454545454545</v>
      </c>
      <c r="AL67" s="6" t="n">
        <f aca="false">1</f>
        <v>1</v>
      </c>
      <c r="AM67" s="6" t="n">
        <f aca="false">VLOOKUP($F67,Category!$A$2:$AZ$20,19,0)</f>
        <v>0.0909090909090909</v>
      </c>
      <c r="AN67" s="6" t="n">
        <f aca="false">VLOOKUP($F67,Category!$A$2:$AZ$20,21,0)</f>
        <v>0.545454545454545</v>
      </c>
      <c r="AO67" s="6" t="n">
        <f aca="false">VLOOKUP($E67,Role!$A$2:$O$9,10,0)</f>
        <v>0.75</v>
      </c>
      <c r="AP67" s="6" t="n">
        <f aca="false">VLOOKUP($F67,Category!$A$2:$AZ$20,9,0)</f>
        <v>0</v>
      </c>
      <c r="AQ67" s="6" t="n">
        <f aca="false">VLOOKUP($F67,Category!$A$2:$AZ$20,11,0)</f>
        <v>0.555555555555556</v>
      </c>
      <c r="AR67" s="6" t="n">
        <f aca="false">VLOOKUP($E67,Role!$A$2:$O$9,10,0)</f>
        <v>0.75</v>
      </c>
      <c r="AS67" s="6" t="n">
        <f aca="false">VLOOKUP($F67,Category!$A$2:$AZ$20,10,0)</f>
        <v>0.555555555555556</v>
      </c>
      <c r="AT67" s="7" t="n">
        <f aca="false">VLOOKUP($F67,Category!$A$2:$AZ$20,14,0)</f>
        <v>0.416666666666667</v>
      </c>
      <c r="AU67" s="7" t="n">
        <f aca="false">VLOOKUP($F67,Category!$A$2:$AZ$20,16,0)</f>
        <v>0.25</v>
      </c>
      <c r="AV67" s="7" t="n">
        <f aca="false">VLOOKUP($D67,Size!$A$2:$Z$13,17,0)</f>
        <v>3</v>
      </c>
      <c r="AW67" s="7" t="n">
        <f aca="false">VLOOKUP($F67,Category!$A$2:$AZ$20,29,0)</f>
        <v>0.333333333333333</v>
      </c>
      <c r="AX67" s="7" t="n">
        <f aca="false">VLOOKUP($F67,Category!$A$2:$AZ$20,31,0)</f>
        <v>0.333333333333333</v>
      </c>
      <c r="AY67" s="7" t="n">
        <f aca="false">VLOOKUP($D67,Size!$A$2:$Z$13,16,0)</f>
        <v>3</v>
      </c>
      <c r="AZ67" s="7" t="n">
        <f aca="false">VLOOKUP($E67,Role!$A$2:$O$9,11,0)</f>
        <v>0.75</v>
      </c>
      <c r="BB67" s="5" t="n">
        <f aca="false">VLOOKUP($D67,Size!$A$2:$Z$13,19,0)</f>
        <v>10</v>
      </c>
      <c r="BC67" s="5" t="n">
        <f aca="false">VLOOKUP($D67,Size!$A$2:$Z$13,20,0)</f>
        <v>1</v>
      </c>
      <c r="BD67" s="5" t="n">
        <f aca="false">VLOOKUP($E67,Role!$A$2:$O$9,13,0)</f>
        <v>0.75</v>
      </c>
      <c r="BE67" s="5" t="n">
        <f aca="false">VLOOKUP($C67,Type!$A$2:$B$4,2,0)</f>
        <v>1</v>
      </c>
    </row>
    <row r="68" customFormat="false" ht="12.8" hidden="false" customHeight="false" outlineLevel="0" collapsed="false">
      <c r="B68" s="2" t="n">
        <v>2</v>
      </c>
      <c r="C68" s="3" t="s">
        <v>51</v>
      </c>
      <c r="D68" s="1" t="s">
        <v>71</v>
      </c>
      <c r="E68" s="1" t="s">
        <v>66</v>
      </c>
      <c r="F68" s="1" t="s">
        <v>67</v>
      </c>
      <c r="G68" s="1" t="s">
        <v>79</v>
      </c>
      <c r="H68" s="4" t="n">
        <f aca="false">VLOOKUP($D68,Size!$A$2:$F$13,6,0)</f>
        <v>2</v>
      </c>
      <c r="J68" s="12" t="n">
        <f aca="false">INT(($B68*$AY68*$AW68*$AZ68)+($B68*$AX68))</f>
        <v>2</v>
      </c>
      <c r="K68" s="4" t="n">
        <f aca="false">ROUND((($B68*$AT68)+($AV68*$AU68)),0)</f>
        <v>2</v>
      </c>
      <c r="L68" s="4" t="n">
        <f aca="false">ROUND((($B68*$AP68)+($B68*$AQ68))*$AR68,0)</f>
        <v>1</v>
      </c>
      <c r="M68" s="4" t="n">
        <f aca="false">ROUND((($B68*$AM68)+($B68*$AN68))*$AO68,0)</f>
        <v>1</v>
      </c>
      <c r="N68" s="4" t="n">
        <f aca="false">ROUND((($B68*$AG68)+($B68*$AH68))*$AI68,0)</f>
        <v>1</v>
      </c>
      <c r="O68" s="4" t="n">
        <f aca="false">ROUND((($B68*$AJ68)+($B68*$AK68))*$AL68,0)</f>
        <v>1</v>
      </c>
      <c r="Q68" s="4" t="n">
        <f aca="false">INT(VLOOKUP($E68,Role!$A$2:$O$9,8,0)*$B68)</f>
        <v>1</v>
      </c>
      <c r="R68" s="4" t="n">
        <f aca="false">INT(VLOOKUP($E68,Role!$A$2:$O$9,9,0)*$B68)</f>
        <v>1</v>
      </c>
      <c r="S68" s="4" t="n">
        <f aca="false">INT(VLOOKUP($E68,Role!$A$2:$P$9,16,0)*$B68*$AS68)</f>
        <v>0</v>
      </c>
      <c r="T68" s="4" t="n">
        <f aca="false">INT(VLOOKUP($D68,Size!$A$2:$Z$13,18,0)*VLOOKUP($E68,Role!$A$2:$O$9,13,0)*$B68/2)</f>
        <v>12</v>
      </c>
      <c r="U68" s="4" t="n">
        <f aca="false">INT(($BB68*$BE68)+($J68*$BC68))</f>
        <v>16</v>
      </c>
      <c r="V68" s="4" t="n">
        <f aca="false">INT((10+$N68)*VLOOKUP($E68,Role!$A$2:$O$9,14,0))</f>
        <v>11</v>
      </c>
      <c r="W68" s="4" t="n">
        <f aca="false">INT($J68*VLOOKUP($E68,Role!$A$2:$O$9,12,0))</f>
        <v>1</v>
      </c>
      <c r="Y68" s="2" t="n">
        <f aca="false">ROUND(MAX($K68,$M68)+(MIN($K68,$M68)*VLOOKUP($E68,Role!$A$2:$O$9,14,0)),0)</f>
        <v>3</v>
      </c>
      <c r="Z68" s="2" t="n">
        <f aca="false">MAX(1,INT(((MIN($J68:$K68)+(MAX($J68:$K68)*$H68*VLOOKUP($E68,Role!$A$2:$O$9,15,0))))*VLOOKUP($G68,Movement!$A$2:$C$7,3,0)))</f>
        <v>9</v>
      </c>
      <c r="AB68" s="5" t="n">
        <f aca="false">INT(5+(($H68-1)/3))</f>
        <v>5</v>
      </c>
      <c r="AC68" s="5" t="n">
        <f aca="false">IF($AB68&lt;$J68,$J68-MAX($AB68,$B68),0)</f>
        <v>0</v>
      </c>
      <c r="AD68" s="5" t="n">
        <f aca="false">(5-ROUND(($H68-1)/3,0))</f>
        <v>5</v>
      </c>
      <c r="AE68" s="5" t="n">
        <f aca="false">IF($AD68&lt;$K68,$K68-MAX($AD68,$B68),0)</f>
        <v>0</v>
      </c>
      <c r="AG68" s="6" t="n">
        <f aca="false">VLOOKUP($F68,Category!$A$2:$AZ$20,24,0)</f>
        <v>0</v>
      </c>
      <c r="AH68" s="6" t="n">
        <f aca="false">VLOOKUP($F68,Category!$A$2:$AZ$20,26,0)</f>
        <v>0.333333333333333</v>
      </c>
      <c r="AI68" s="6" t="n">
        <f aca="false">VLOOKUP($E68,Role!$A$2:$O$9,10,0)</f>
        <v>0.75</v>
      </c>
      <c r="AJ68" s="6" t="n">
        <f aca="false">VLOOKUP($F68,Category!$A$2:$AZ$20,19,0)</f>
        <v>0.0909090909090909</v>
      </c>
      <c r="AK68" s="6" t="n">
        <f aca="false">VLOOKUP($F68,Category!$A$2:$AZ$20,21,0)</f>
        <v>0.545454545454545</v>
      </c>
      <c r="AL68" s="6" t="n">
        <f aca="false">1</f>
        <v>1</v>
      </c>
      <c r="AM68" s="6" t="n">
        <f aca="false">VLOOKUP($F68,Category!$A$2:$AZ$20,19,0)</f>
        <v>0.0909090909090909</v>
      </c>
      <c r="AN68" s="6" t="n">
        <f aca="false">VLOOKUP($F68,Category!$A$2:$AZ$20,21,0)</f>
        <v>0.545454545454545</v>
      </c>
      <c r="AO68" s="6" t="n">
        <f aca="false">VLOOKUP($E68,Role!$A$2:$O$9,10,0)</f>
        <v>0.75</v>
      </c>
      <c r="AP68" s="6" t="n">
        <f aca="false">VLOOKUP($F68,Category!$A$2:$AZ$20,9,0)</f>
        <v>0</v>
      </c>
      <c r="AQ68" s="6" t="n">
        <f aca="false">VLOOKUP($F68,Category!$A$2:$AZ$20,11,0)</f>
        <v>0.555555555555556</v>
      </c>
      <c r="AR68" s="6" t="n">
        <f aca="false">VLOOKUP($E68,Role!$A$2:$O$9,10,0)</f>
        <v>0.75</v>
      </c>
      <c r="AS68" s="6" t="n">
        <f aca="false">VLOOKUP($F68,Category!$A$2:$AZ$20,10,0)</f>
        <v>0.555555555555556</v>
      </c>
      <c r="AT68" s="7" t="n">
        <f aca="false">VLOOKUP($F68,Category!$A$2:$AZ$20,14,0)</f>
        <v>0.416666666666667</v>
      </c>
      <c r="AU68" s="7" t="n">
        <f aca="false">VLOOKUP($F68,Category!$A$2:$AZ$20,16,0)</f>
        <v>0.25</v>
      </c>
      <c r="AV68" s="7" t="n">
        <f aca="false">VLOOKUP($D68,Size!$A$2:$Z$13,17,0)</f>
        <v>3</v>
      </c>
      <c r="AW68" s="7" t="n">
        <f aca="false">VLOOKUP($F68,Category!$A$2:$AZ$20,29,0)</f>
        <v>0.333333333333333</v>
      </c>
      <c r="AX68" s="7" t="n">
        <f aca="false">VLOOKUP($F68,Category!$A$2:$AZ$20,31,0)</f>
        <v>0.333333333333333</v>
      </c>
      <c r="AY68" s="7" t="n">
        <f aca="false">VLOOKUP($D68,Size!$A$2:$Z$13,16,0)</f>
        <v>3</v>
      </c>
      <c r="AZ68" s="7" t="n">
        <f aca="false">VLOOKUP($E68,Role!$A$2:$O$9,11,0)</f>
        <v>0.75</v>
      </c>
      <c r="BB68" s="5" t="n">
        <f aca="false">VLOOKUP($D68,Size!$A$2:$Z$13,19,0)</f>
        <v>12</v>
      </c>
      <c r="BC68" s="5" t="n">
        <f aca="false">VLOOKUP($D68,Size!$A$2:$Z$13,20,0)</f>
        <v>2</v>
      </c>
      <c r="BD68" s="5" t="n">
        <f aca="false">VLOOKUP($E68,Role!$A$2:$O$9,13,0)</f>
        <v>0.75</v>
      </c>
      <c r="BE68" s="5" t="n">
        <f aca="false">VLOOKUP($C68,Type!$A$2:$B$4,2,0)</f>
        <v>1</v>
      </c>
    </row>
    <row r="69" customFormat="false" ht="12.8" hidden="false" customHeight="false" outlineLevel="0" collapsed="false">
      <c r="B69" s="2" t="n">
        <v>2</v>
      </c>
      <c r="C69" s="3" t="s">
        <v>51</v>
      </c>
      <c r="D69" s="1" t="s">
        <v>72</v>
      </c>
      <c r="E69" s="1" t="s">
        <v>66</v>
      </c>
      <c r="F69" s="1" t="s">
        <v>67</v>
      </c>
      <c r="G69" s="1" t="s">
        <v>79</v>
      </c>
      <c r="H69" s="4" t="n">
        <f aca="false">VLOOKUP($D69,Size!$A$2:$F$13,6,0)</f>
        <v>3</v>
      </c>
      <c r="J69" s="12" t="n">
        <f aca="false">INT(($B69*$AY69*$AW69*$AZ69)+($B69*$AX69))</f>
        <v>2</v>
      </c>
      <c r="K69" s="4" t="n">
        <f aca="false">ROUND((($B69*$AT69)+($AV69*$AU69)),0)</f>
        <v>1</v>
      </c>
      <c r="L69" s="4" t="n">
        <f aca="false">ROUND((($B69*$AP69)+($B69*$AQ69))*$AR69,0)</f>
        <v>1</v>
      </c>
      <c r="M69" s="4" t="n">
        <f aca="false">ROUND((($B69*$AM69)+($B69*$AN69))*$AO69,0)</f>
        <v>1</v>
      </c>
      <c r="N69" s="4" t="n">
        <f aca="false">ROUND((($B69*$AG69)+($B69*$AH69))*$AI69,0)</f>
        <v>1</v>
      </c>
      <c r="O69" s="4" t="n">
        <f aca="false">ROUND((($B69*$AJ69)+($B69*$AK69))*$AL69,0)</f>
        <v>1</v>
      </c>
      <c r="Q69" s="4" t="n">
        <f aca="false">INT(VLOOKUP($E69,Role!$A$2:$O$9,8,0)*$B69)</f>
        <v>1</v>
      </c>
      <c r="R69" s="4" t="n">
        <f aca="false">INT(VLOOKUP($E69,Role!$A$2:$O$9,9,0)*$B69)</f>
        <v>1</v>
      </c>
      <c r="S69" s="4" t="n">
        <f aca="false">INT(VLOOKUP($E69,Role!$A$2:$P$9,16,0)*$B69*$AS69)</f>
        <v>0</v>
      </c>
      <c r="T69" s="4" t="n">
        <f aca="false">INT(VLOOKUP($D69,Size!$A$2:$Z$13,18,0)*VLOOKUP($E69,Role!$A$2:$O$9,13,0)*$B69/2)</f>
        <v>16</v>
      </c>
      <c r="U69" s="4" t="n">
        <f aca="false">INT(($BB69*$BE69)+($J69*$BC69))</f>
        <v>22</v>
      </c>
      <c r="V69" s="4" t="n">
        <f aca="false">INT((10+$N69)*VLOOKUP($E69,Role!$A$2:$O$9,14,0))</f>
        <v>11</v>
      </c>
      <c r="W69" s="4" t="n">
        <f aca="false">INT($J69*VLOOKUP($E69,Role!$A$2:$O$9,12,0))</f>
        <v>1</v>
      </c>
      <c r="Y69" s="2" t="n">
        <f aca="false">ROUND(MAX($K69,$M69)+(MIN($K69,$M69)*VLOOKUP($E69,Role!$A$2:$O$9,14,0)),0)</f>
        <v>2</v>
      </c>
      <c r="Z69" s="2" t="n">
        <f aca="false">MAX(1,INT(((MIN($J69:$K69)+(MAX($J69:$K69)*$H69*VLOOKUP($E69,Role!$A$2:$O$9,15,0))))*VLOOKUP($G69,Movement!$A$2:$C$7,3,0)))</f>
        <v>10</v>
      </c>
      <c r="AB69" s="5" t="n">
        <f aca="false">INT(5+(($H69-1)/3))</f>
        <v>5</v>
      </c>
      <c r="AC69" s="5" t="n">
        <f aca="false">IF($AB69&lt;$J69,$J69-MAX($AB69,$B69),0)</f>
        <v>0</v>
      </c>
      <c r="AD69" s="5" t="n">
        <f aca="false">(5-ROUND(($H69-1)/3,0))</f>
        <v>4</v>
      </c>
      <c r="AE69" s="5" t="n">
        <f aca="false">IF($AD69&lt;$K69,$K69-MAX($AD69,$B69),0)</f>
        <v>0</v>
      </c>
      <c r="AG69" s="6" t="n">
        <f aca="false">VLOOKUP($F69,Category!$A$2:$AZ$20,24,0)</f>
        <v>0</v>
      </c>
      <c r="AH69" s="6" t="n">
        <f aca="false">VLOOKUP($F69,Category!$A$2:$AZ$20,26,0)</f>
        <v>0.333333333333333</v>
      </c>
      <c r="AI69" s="6" t="n">
        <f aca="false">VLOOKUP($E69,Role!$A$2:$O$9,10,0)</f>
        <v>0.75</v>
      </c>
      <c r="AJ69" s="6" t="n">
        <f aca="false">VLOOKUP($F69,Category!$A$2:$AZ$20,19,0)</f>
        <v>0.0909090909090909</v>
      </c>
      <c r="AK69" s="6" t="n">
        <f aca="false">VLOOKUP($F69,Category!$A$2:$AZ$20,21,0)</f>
        <v>0.545454545454545</v>
      </c>
      <c r="AL69" s="6" t="n">
        <f aca="false">1</f>
        <v>1</v>
      </c>
      <c r="AM69" s="6" t="n">
        <f aca="false">VLOOKUP($F69,Category!$A$2:$AZ$20,19,0)</f>
        <v>0.0909090909090909</v>
      </c>
      <c r="AN69" s="6" t="n">
        <f aca="false">VLOOKUP($F69,Category!$A$2:$AZ$20,21,0)</f>
        <v>0.545454545454545</v>
      </c>
      <c r="AO69" s="6" t="n">
        <f aca="false">VLOOKUP($E69,Role!$A$2:$O$9,10,0)</f>
        <v>0.75</v>
      </c>
      <c r="AP69" s="6" t="n">
        <f aca="false">VLOOKUP($F69,Category!$A$2:$AZ$20,9,0)</f>
        <v>0</v>
      </c>
      <c r="AQ69" s="6" t="n">
        <f aca="false">VLOOKUP($F69,Category!$A$2:$AZ$20,11,0)</f>
        <v>0.555555555555556</v>
      </c>
      <c r="AR69" s="6" t="n">
        <f aca="false">VLOOKUP($E69,Role!$A$2:$O$9,10,0)</f>
        <v>0.75</v>
      </c>
      <c r="AS69" s="6" t="n">
        <f aca="false">VLOOKUP($F69,Category!$A$2:$AZ$20,10,0)</f>
        <v>0.555555555555556</v>
      </c>
      <c r="AT69" s="7" t="n">
        <f aca="false">VLOOKUP($F69,Category!$A$2:$AZ$20,14,0)</f>
        <v>0.416666666666667</v>
      </c>
      <c r="AU69" s="7" t="n">
        <f aca="false">VLOOKUP($F69,Category!$A$2:$AZ$20,16,0)</f>
        <v>0.25</v>
      </c>
      <c r="AV69" s="7" t="n">
        <f aca="false">VLOOKUP($D69,Size!$A$2:$Z$13,17,0)</f>
        <v>2</v>
      </c>
      <c r="AW69" s="7" t="n">
        <f aca="false">VLOOKUP($F69,Category!$A$2:$AZ$20,29,0)</f>
        <v>0.333333333333333</v>
      </c>
      <c r="AX69" s="7" t="n">
        <f aca="false">VLOOKUP($F69,Category!$A$2:$AZ$20,31,0)</f>
        <v>0.333333333333333</v>
      </c>
      <c r="AY69" s="7" t="n">
        <f aca="false">VLOOKUP($D69,Size!$A$2:$Z$13,16,0)</f>
        <v>4</v>
      </c>
      <c r="AZ69" s="7" t="n">
        <f aca="false">VLOOKUP($E69,Role!$A$2:$O$9,11,0)</f>
        <v>0.75</v>
      </c>
      <c r="BB69" s="5" t="n">
        <f aca="false">VLOOKUP($D69,Size!$A$2:$Z$13,19,0)</f>
        <v>14</v>
      </c>
      <c r="BC69" s="5" t="n">
        <f aca="false">VLOOKUP($D69,Size!$A$2:$Z$13,20,0)</f>
        <v>4</v>
      </c>
      <c r="BD69" s="5" t="n">
        <f aca="false">VLOOKUP($E69,Role!$A$2:$O$9,13,0)</f>
        <v>0.75</v>
      </c>
      <c r="BE69" s="5" t="n">
        <f aca="false">VLOOKUP($C69,Type!$A$2:$B$4,2,0)</f>
        <v>1</v>
      </c>
    </row>
    <row r="70" customFormat="false" ht="12.8" hidden="false" customHeight="false" outlineLevel="0" collapsed="false">
      <c r="B70" s="2" t="n">
        <v>2</v>
      </c>
      <c r="C70" s="3" t="s">
        <v>51</v>
      </c>
      <c r="D70" s="1" t="s">
        <v>73</v>
      </c>
      <c r="E70" s="1" t="s">
        <v>66</v>
      </c>
      <c r="F70" s="1" t="s">
        <v>67</v>
      </c>
      <c r="G70" s="1" t="s">
        <v>79</v>
      </c>
      <c r="H70" s="4" t="n">
        <f aca="false">VLOOKUP($D70,Size!$A$2:$F$13,6,0)</f>
        <v>4</v>
      </c>
      <c r="J70" s="12" t="n">
        <f aca="false">INT(($B70*$AY70*$AW70*$AZ70)+($B70*$AX70))</f>
        <v>2</v>
      </c>
      <c r="K70" s="4" t="n">
        <f aca="false">ROUND((($B70*$AT70)+($AV70*$AU70)),0)</f>
        <v>1</v>
      </c>
      <c r="L70" s="4" t="n">
        <f aca="false">ROUND((($B70*$AP70)+($B70*$AQ70))*$AR70,0)</f>
        <v>1</v>
      </c>
      <c r="M70" s="4" t="n">
        <f aca="false">ROUND((($B70*$AM70)+($B70*$AN70))*$AO70,0)</f>
        <v>1</v>
      </c>
      <c r="N70" s="4" t="n">
        <f aca="false">ROUND((($B70*$AG70)+($B70*$AH70))*$AI70,0)</f>
        <v>1</v>
      </c>
      <c r="O70" s="4" t="n">
        <f aca="false">ROUND((($B70*$AJ70)+($B70*$AK70))*$AL70,0)</f>
        <v>1</v>
      </c>
      <c r="Q70" s="4" t="n">
        <f aca="false">INT(VLOOKUP($E70,Role!$A$2:$O$9,8,0)*$B70)</f>
        <v>1</v>
      </c>
      <c r="R70" s="4" t="n">
        <f aca="false">INT(VLOOKUP($E70,Role!$A$2:$O$9,9,0)*$B70)</f>
        <v>1</v>
      </c>
      <c r="S70" s="4" t="n">
        <f aca="false">INT(VLOOKUP($E70,Role!$A$2:$P$9,16,0)*$B70*$AS70)</f>
        <v>0</v>
      </c>
      <c r="T70" s="4" t="n">
        <f aca="false">INT(VLOOKUP($D70,Size!$A$2:$Z$13,18,0)*VLOOKUP($E70,Role!$A$2:$O$9,13,0)*$B70/2)</f>
        <v>18</v>
      </c>
      <c r="U70" s="4" t="n">
        <f aca="false">INT(($BB70*$BE70)+($J70*$BC70))</f>
        <v>28</v>
      </c>
      <c r="V70" s="4" t="n">
        <f aca="false">INT((10+$N70)*VLOOKUP($E70,Role!$A$2:$O$9,14,0))</f>
        <v>11</v>
      </c>
      <c r="W70" s="4" t="n">
        <f aca="false">INT($J70*VLOOKUP($E70,Role!$A$2:$O$9,12,0))</f>
        <v>1</v>
      </c>
      <c r="Y70" s="2" t="n">
        <f aca="false">ROUND(MAX($K70,$M70)+(MIN($K70,$M70)*VLOOKUP($E70,Role!$A$2:$O$9,14,0)),0)</f>
        <v>2</v>
      </c>
      <c r="Z70" s="2" t="n">
        <f aca="false">MAX(1,INT(((MIN($J70:$K70)+(MAX($J70:$K70)*$H70*VLOOKUP($E70,Role!$A$2:$O$9,15,0))))*VLOOKUP($G70,Movement!$A$2:$C$7,3,0)))</f>
        <v>13</v>
      </c>
      <c r="AB70" s="5" t="n">
        <f aca="false">INT(5+(($H70-1)/3))</f>
        <v>6</v>
      </c>
      <c r="AC70" s="5" t="n">
        <f aca="false">IF($AB70&lt;$J70,$J70-MAX($AB70,$B70),0)</f>
        <v>0</v>
      </c>
      <c r="AD70" s="5" t="n">
        <f aca="false">(5-ROUND(($H70-1)/3,0))</f>
        <v>4</v>
      </c>
      <c r="AE70" s="5" t="n">
        <f aca="false">IF($AD70&lt;$K70,$K70-MAX($AD70,$B70),0)</f>
        <v>0</v>
      </c>
      <c r="AG70" s="6" t="n">
        <f aca="false">VLOOKUP($F70,Category!$A$2:$AZ$20,24,0)</f>
        <v>0</v>
      </c>
      <c r="AH70" s="6" t="n">
        <f aca="false">VLOOKUP($F70,Category!$A$2:$AZ$20,26,0)</f>
        <v>0.333333333333333</v>
      </c>
      <c r="AI70" s="6" t="n">
        <f aca="false">VLOOKUP($E70,Role!$A$2:$O$9,10,0)</f>
        <v>0.75</v>
      </c>
      <c r="AJ70" s="6" t="n">
        <f aca="false">VLOOKUP($F70,Category!$A$2:$AZ$20,19,0)</f>
        <v>0.0909090909090909</v>
      </c>
      <c r="AK70" s="6" t="n">
        <f aca="false">VLOOKUP($F70,Category!$A$2:$AZ$20,21,0)</f>
        <v>0.545454545454545</v>
      </c>
      <c r="AL70" s="6" t="n">
        <f aca="false">1</f>
        <v>1</v>
      </c>
      <c r="AM70" s="6" t="n">
        <f aca="false">VLOOKUP($F70,Category!$A$2:$AZ$20,19,0)</f>
        <v>0.0909090909090909</v>
      </c>
      <c r="AN70" s="6" t="n">
        <f aca="false">VLOOKUP($F70,Category!$A$2:$AZ$20,21,0)</f>
        <v>0.545454545454545</v>
      </c>
      <c r="AO70" s="6" t="n">
        <f aca="false">VLOOKUP($E70,Role!$A$2:$O$9,10,0)</f>
        <v>0.75</v>
      </c>
      <c r="AP70" s="6" t="n">
        <f aca="false">VLOOKUP($F70,Category!$A$2:$AZ$20,9,0)</f>
        <v>0</v>
      </c>
      <c r="AQ70" s="6" t="n">
        <f aca="false">VLOOKUP($F70,Category!$A$2:$AZ$20,11,0)</f>
        <v>0.555555555555556</v>
      </c>
      <c r="AR70" s="6" t="n">
        <f aca="false">VLOOKUP($E70,Role!$A$2:$O$9,10,0)</f>
        <v>0.75</v>
      </c>
      <c r="AS70" s="6" t="n">
        <f aca="false">VLOOKUP($F70,Category!$A$2:$AZ$20,10,0)</f>
        <v>0.555555555555556</v>
      </c>
      <c r="AT70" s="7" t="n">
        <f aca="false">VLOOKUP($F70,Category!$A$2:$AZ$20,14,0)</f>
        <v>0.416666666666667</v>
      </c>
      <c r="AU70" s="7" t="n">
        <f aca="false">VLOOKUP($F70,Category!$A$2:$AZ$20,16,0)</f>
        <v>0.25</v>
      </c>
      <c r="AV70" s="7" t="n">
        <f aca="false">VLOOKUP($D70,Size!$A$2:$Z$13,17,0)</f>
        <v>2</v>
      </c>
      <c r="AW70" s="7" t="n">
        <f aca="false">VLOOKUP($F70,Category!$A$2:$AZ$20,29,0)</f>
        <v>0.333333333333333</v>
      </c>
      <c r="AX70" s="7" t="n">
        <f aca="false">VLOOKUP($F70,Category!$A$2:$AZ$20,31,0)</f>
        <v>0.333333333333333</v>
      </c>
      <c r="AY70" s="7" t="n">
        <f aca="false">VLOOKUP($D70,Size!$A$2:$Z$13,16,0)</f>
        <v>4</v>
      </c>
      <c r="AZ70" s="7" t="n">
        <f aca="false">VLOOKUP($E70,Role!$A$2:$O$9,11,0)</f>
        <v>0.75</v>
      </c>
      <c r="BB70" s="5" t="n">
        <f aca="false">VLOOKUP($D70,Size!$A$2:$Z$13,19,0)</f>
        <v>16</v>
      </c>
      <c r="BC70" s="5" t="n">
        <f aca="false">VLOOKUP($D70,Size!$A$2:$Z$13,20,0)</f>
        <v>6</v>
      </c>
      <c r="BD70" s="5" t="n">
        <f aca="false">VLOOKUP($E70,Role!$A$2:$O$9,13,0)</f>
        <v>0.75</v>
      </c>
      <c r="BE70" s="5" t="n">
        <f aca="false">VLOOKUP($C70,Type!$A$2:$B$4,2,0)</f>
        <v>1</v>
      </c>
    </row>
    <row r="71" customFormat="false" ht="12.8" hidden="false" customHeight="false" outlineLevel="0" collapsed="false">
      <c r="B71" s="2" t="n">
        <v>2</v>
      </c>
      <c r="C71" s="3" t="s">
        <v>51</v>
      </c>
      <c r="D71" s="1" t="s">
        <v>74</v>
      </c>
      <c r="E71" s="1" t="s">
        <v>66</v>
      </c>
      <c r="F71" s="1" t="s">
        <v>67</v>
      </c>
      <c r="G71" s="1" t="s">
        <v>79</v>
      </c>
      <c r="H71" s="4" t="n">
        <f aca="false">VLOOKUP($D71,Size!$A$2:$F$13,6,0)</f>
        <v>5</v>
      </c>
      <c r="J71" s="12" t="n">
        <f aca="false">INT(($B71*$AY71*$AW71*$AZ71)+($B71*$AX71))</f>
        <v>3</v>
      </c>
      <c r="K71" s="4" t="n">
        <f aca="false">ROUND((($B71*$AT71)+($AV71*$AU71)),0)</f>
        <v>1</v>
      </c>
      <c r="L71" s="4" t="n">
        <f aca="false">ROUND((($B71*$AP71)+($B71*$AQ71))*$AR71,0)</f>
        <v>1</v>
      </c>
      <c r="M71" s="4" t="n">
        <f aca="false">ROUND((($B71*$AM71)+($B71*$AN71))*$AO71,0)</f>
        <v>1</v>
      </c>
      <c r="N71" s="4" t="n">
        <f aca="false">ROUND((($B71*$AG71)+($B71*$AH71))*$AI71,0)</f>
        <v>1</v>
      </c>
      <c r="O71" s="4" t="n">
        <f aca="false">ROUND((($B71*$AJ71)+($B71*$AK71))*$AL71,0)</f>
        <v>1</v>
      </c>
      <c r="Q71" s="4" t="n">
        <f aca="false">INT(VLOOKUP($E71,Role!$A$2:$O$9,8,0)*$B71)</f>
        <v>1</v>
      </c>
      <c r="R71" s="4" t="n">
        <f aca="false">INT(VLOOKUP($E71,Role!$A$2:$O$9,9,0)*$B71)</f>
        <v>1</v>
      </c>
      <c r="S71" s="4" t="n">
        <f aca="false">INT(VLOOKUP($E71,Role!$A$2:$P$9,16,0)*$B71*$AS71)</f>
        <v>0</v>
      </c>
      <c r="T71" s="4" t="n">
        <f aca="false">INT(VLOOKUP($D71,Size!$A$2:$Z$13,18,0)*VLOOKUP($E71,Role!$A$2:$O$9,13,0)*$B71/2)</f>
        <v>23</v>
      </c>
      <c r="U71" s="4" t="n">
        <f aca="false">INT(($BB71*$BE71)+($J71*$BC71))</f>
        <v>42</v>
      </c>
      <c r="V71" s="4" t="n">
        <f aca="false">INT((10+$N71)*VLOOKUP($E71,Role!$A$2:$O$9,14,0))</f>
        <v>11</v>
      </c>
      <c r="W71" s="4" t="n">
        <f aca="false">INT($J71*VLOOKUP($E71,Role!$A$2:$O$9,12,0))</f>
        <v>2</v>
      </c>
      <c r="Y71" s="2" t="n">
        <f aca="false">ROUND(MAX($K71,$M71)+(MIN($K71,$M71)*VLOOKUP($E71,Role!$A$2:$O$9,14,0)),0)</f>
        <v>2</v>
      </c>
      <c r="Z71" s="2" t="n">
        <f aca="false">MAX(1,INT(((MIN($J71:$K71)+(MAX($J71:$K71)*$H71*VLOOKUP($E71,Role!$A$2:$O$9,15,0))))*VLOOKUP($G71,Movement!$A$2:$C$7,3,0)))</f>
        <v>24</v>
      </c>
      <c r="AB71" s="5" t="n">
        <f aca="false">INT(5+(($H71-1)/3))</f>
        <v>6</v>
      </c>
      <c r="AC71" s="5" t="n">
        <f aca="false">IF($AB71&lt;$J71,$J71-MAX($AB71,$B71),0)</f>
        <v>0</v>
      </c>
      <c r="AD71" s="5" t="n">
        <f aca="false">(5-ROUND(($H71-1)/3,0))</f>
        <v>4</v>
      </c>
      <c r="AE71" s="5" t="n">
        <f aca="false">IF($AD71&lt;$K71,$K71-MAX($AD71,$B71),0)</f>
        <v>0</v>
      </c>
      <c r="AG71" s="6" t="n">
        <f aca="false">VLOOKUP($F71,Category!$A$2:$AZ$20,24,0)</f>
        <v>0</v>
      </c>
      <c r="AH71" s="6" t="n">
        <f aca="false">VLOOKUP($F71,Category!$A$2:$AZ$20,26,0)</f>
        <v>0.333333333333333</v>
      </c>
      <c r="AI71" s="6" t="n">
        <f aca="false">VLOOKUP($E71,Role!$A$2:$O$9,10,0)</f>
        <v>0.75</v>
      </c>
      <c r="AJ71" s="6" t="n">
        <f aca="false">VLOOKUP($F71,Category!$A$2:$AZ$20,19,0)</f>
        <v>0.0909090909090909</v>
      </c>
      <c r="AK71" s="6" t="n">
        <f aca="false">VLOOKUP($F71,Category!$A$2:$AZ$20,21,0)</f>
        <v>0.545454545454545</v>
      </c>
      <c r="AL71" s="6" t="n">
        <f aca="false">1</f>
        <v>1</v>
      </c>
      <c r="AM71" s="6" t="n">
        <f aca="false">VLOOKUP($F71,Category!$A$2:$AZ$20,19,0)</f>
        <v>0.0909090909090909</v>
      </c>
      <c r="AN71" s="6" t="n">
        <f aca="false">VLOOKUP($F71,Category!$A$2:$AZ$20,21,0)</f>
        <v>0.545454545454545</v>
      </c>
      <c r="AO71" s="6" t="n">
        <f aca="false">VLOOKUP($E71,Role!$A$2:$O$9,10,0)</f>
        <v>0.75</v>
      </c>
      <c r="AP71" s="6" t="n">
        <f aca="false">VLOOKUP($F71,Category!$A$2:$AZ$20,9,0)</f>
        <v>0</v>
      </c>
      <c r="AQ71" s="6" t="n">
        <f aca="false">VLOOKUP($F71,Category!$A$2:$AZ$20,11,0)</f>
        <v>0.555555555555556</v>
      </c>
      <c r="AR71" s="6" t="n">
        <f aca="false">VLOOKUP($E71,Role!$A$2:$O$9,10,0)</f>
        <v>0.75</v>
      </c>
      <c r="AS71" s="6" t="n">
        <f aca="false">VLOOKUP($F71,Category!$A$2:$AZ$20,10,0)</f>
        <v>0.555555555555556</v>
      </c>
      <c r="AT71" s="7" t="n">
        <f aca="false">VLOOKUP($F71,Category!$A$2:$AZ$20,14,0)</f>
        <v>0.416666666666667</v>
      </c>
      <c r="AU71" s="7" t="n">
        <f aca="false">VLOOKUP($F71,Category!$A$2:$AZ$20,16,0)</f>
        <v>0.25</v>
      </c>
      <c r="AV71" s="7" t="n">
        <f aca="false">VLOOKUP($D71,Size!$A$2:$Z$13,17,0)</f>
        <v>2</v>
      </c>
      <c r="AW71" s="7" t="n">
        <f aca="false">VLOOKUP($F71,Category!$A$2:$AZ$20,29,0)</f>
        <v>0.333333333333333</v>
      </c>
      <c r="AX71" s="7" t="n">
        <f aca="false">VLOOKUP($F71,Category!$A$2:$AZ$20,31,0)</f>
        <v>0.333333333333333</v>
      </c>
      <c r="AY71" s="7" t="n">
        <f aca="false">VLOOKUP($D71,Size!$A$2:$Z$13,16,0)</f>
        <v>5</v>
      </c>
      <c r="AZ71" s="7" t="n">
        <f aca="false">VLOOKUP($E71,Role!$A$2:$O$9,11,0)</f>
        <v>0.75</v>
      </c>
      <c r="BB71" s="5" t="n">
        <f aca="false">VLOOKUP($D71,Size!$A$2:$Z$13,19,0)</f>
        <v>18</v>
      </c>
      <c r="BC71" s="5" t="n">
        <f aca="false">VLOOKUP($D71,Size!$A$2:$Z$13,20,0)</f>
        <v>8</v>
      </c>
      <c r="BD71" s="5" t="n">
        <f aca="false">VLOOKUP($E71,Role!$A$2:$O$9,13,0)</f>
        <v>0.75</v>
      </c>
      <c r="BE71" s="5" t="n">
        <f aca="false">VLOOKUP($C71,Type!$A$2:$B$4,2,0)</f>
        <v>1</v>
      </c>
    </row>
    <row r="72" customFormat="false" ht="12.8" hidden="false" customHeight="false" outlineLevel="0" collapsed="false">
      <c r="B72" s="2" t="n">
        <v>2</v>
      </c>
      <c r="C72" s="3" t="s">
        <v>51</v>
      </c>
      <c r="D72" s="1" t="s">
        <v>75</v>
      </c>
      <c r="E72" s="1" t="s">
        <v>66</v>
      </c>
      <c r="F72" s="1" t="s">
        <v>67</v>
      </c>
      <c r="G72" s="1" t="s">
        <v>79</v>
      </c>
      <c r="H72" s="4" t="n">
        <f aca="false">VLOOKUP($D72,Size!$A$2:$F$13,6,0)</f>
        <v>6</v>
      </c>
      <c r="J72" s="12" t="n">
        <f aca="false">INT(($B72*$AY72*$AW72*$AZ72)+($B72*$AX72))</f>
        <v>3</v>
      </c>
      <c r="K72" s="4" t="n">
        <f aca="false">ROUND((($B72*$AT72)+($AV72*$AU72)),0)</f>
        <v>1</v>
      </c>
      <c r="L72" s="4" t="n">
        <f aca="false">ROUND((($B72*$AP72)+($B72*$AQ72))*$AR72,0)</f>
        <v>1</v>
      </c>
      <c r="M72" s="4" t="n">
        <f aca="false">ROUND((($B72*$AM72)+($B72*$AN72))*$AO72,0)</f>
        <v>1</v>
      </c>
      <c r="N72" s="4" t="n">
        <f aca="false">ROUND((($B72*$AG72)+($B72*$AH72))*$AI72,0)</f>
        <v>1</v>
      </c>
      <c r="O72" s="4" t="n">
        <f aca="false">ROUND((($B72*$AJ72)+($B72*$AK72))*$AL72,0)</f>
        <v>1</v>
      </c>
      <c r="Q72" s="4" t="n">
        <f aca="false">INT(VLOOKUP($E72,Role!$A$2:$O$9,8,0)*$B72)</f>
        <v>1</v>
      </c>
      <c r="R72" s="4" t="n">
        <f aca="false">INT(VLOOKUP($E72,Role!$A$2:$O$9,9,0)*$B72)</f>
        <v>1</v>
      </c>
      <c r="S72" s="4" t="n">
        <f aca="false">INT(VLOOKUP($E72,Role!$A$2:$P$9,16,0)*$B72*$AS72)</f>
        <v>0</v>
      </c>
      <c r="T72" s="4" t="n">
        <f aca="false">INT(VLOOKUP($D72,Size!$A$2:$Z$13,18,0)*VLOOKUP($E72,Role!$A$2:$O$9,13,0)*$B72/2)</f>
        <v>29</v>
      </c>
      <c r="U72" s="4" t="n">
        <f aca="false">INT(($BB72*$BE72)+($J72*$BC72))</f>
        <v>50</v>
      </c>
      <c r="V72" s="4" t="n">
        <f aca="false">INT((10+$N72)*VLOOKUP($E72,Role!$A$2:$O$9,14,0))</f>
        <v>11</v>
      </c>
      <c r="W72" s="4" t="n">
        <f aca="false">INT($J72*VLOOKUP($E72,Role!$A$2:$O$9,12,0))</f>
        <v>2</v>
      </c>
      <c r="Y72" s="2" t="n">
        <f aca="false">ROUND(MAX($K72,$M72)+(MIN($K72,$M72)*VLOOKUP($E72,Role!$A$2:$O$9,14,0)),0)</f>
        <v>2</v>
      </c>
      <c r="Z72" s="2" t="n">
        <f aca="false">MAX(1,INT(((MIN($J72:$K72)+(MAX($J72:$K72)*$H72*VLOOKUP($E72,Role!$A$2:$O$9,15,0))))*VLOOKUP($G72,Movement!$A$2:$C$7,3,0)))</f>
        <v>28</v>
      </c>
      <c r="AB72" s="5" t="n">
        <f aca="false">INT(5+(($H72-1)/3))</f>
        <v>6</v>
      </c>
      <c r="AC72" s="5" t="n">
        <f aca="false">IF($AB72&lt;$J72,$J72-MAX($AB72,$B72),0)</f>
        <v>0</v>
      </c>
      <c r="AD72" s="5" t="n">
        <f aca="false">(5-ROUND(($H72-1)/3,0))</f>
        <v>3</v>
      </c>
      <c r="AE72" s="5" t="n">
        <f aca="false">IF($AD72&lt;$K72,$K72-MAX($AD72,$B72),0)</f>
        <v>0</v>
      </c>
      <c r="AG72" s="6" t="n">
        <f aca="false">VLOOKUP($F72,Category!$A$2:$AZ$20,24,0)</f>
        <v>0</v>
      </c>
      <c r="AH72" s="6" t="n">
        <f aca="false">VLOOKUP($F72,Category!$A$2:$AZ$20,26,0)</f>
        <v>0.333333333333333</v>
      </c>
      <c r="AI72" s="6" t="n">
        <f aca="false">VLOOKUP($E72,Role!$A$2:$O$9,10,0)</f>
        <v>0.75</v>
      </c>
      <c r="AJ72" s="6" t="n">
        <f aca="false">VLOOKUP($F72,Category!$A$2:$AZ$20,19,0)</f>
        <v>0.0909090909090909</v>
      </c>
      <c r="AK72" s="6" t="n">
        <f aca="false">VLOOKUP($F72,Category!$A$2:$AZ$20,21,0)</f>
        <v>0.545454545454545</v>
      </c>
      <c r="AL72" s="6" t="n">
        <f aca="false">1</f>
        <v>1</v>
      </c>
      <c r="AM72" s="6" t="n">
        <f aca="false">VLOOKUP($F72,Category!$A$2:$AZ$20,19,0)</f>
        <v>0.0909090909090909</v>
      </c>
      <c r="AN72" s="6" t="n">
        <f aca="false">VLOOKUP($F72,Category!$A$2:$AZ$20,21,0)</f>
        <v>0.545454545454545</v>
      </c>
      <c r="AO72" s="6" t="n">
        <f aca="false">VLOOKUP($E72,Role!$A$2:$O$9,10,0)</f>
        <v>0.75</v>
      </c>
      <c r="AP72" s="6" t="n">
        <f aca="false">VLOOKUP($F72,Category!$A$2:$AZ$20,9,0)</f>
        <v>0</v>
      </c>
      <c r="AQ72" s="6" t="n">
        <f aca="false">VLOOKUP($F72,Category!$A$2:$AZ$20,11,0)</f>
        <v>0.555555555555556</v>
      </c>
      <c r="AR72" s="6" t="n">
        <f aca="false">VLOOKUP($E72,Role!$A$2:$O$9,10,0)</f>
        <v>0.75</v>
      </c>
      <c r="AS72" s="6" t="n">
        <f aca="false">VLOOKUP($F72,Category!$A$2:$AZ$20,10,0)</f>
        <v>0.555555555555556</v>
      </c>
      <c r="AT72" s="7" t="n">
        <f aca="false">VLOOKUP($F72,Category!$A$2:$AZ$20,14,0)</f>
        <v>0.416666666666667</v>
      </c>
      <c r="AU72" s="7" t="n">
        <f aca="false">VLOOKUP($F72,Category!$A$2:$AZ$20,16,0)</f>
        <v>0.25</v>
      </c>
      <c r="AV72" s="7" t="n">
        <f aca="false">VLOOKUP($D72,Size!$A$2:$Z$13,17,0)</f>
        <v>2</v>
      </c>
      <c r="AW72" s="7" t="n">
        <f aca="false">VLOOKUP($F72,Category!$A$2:$AZ$20,29,0)</f>
        <v>0.333333333333333</v>
      </c>
      <c r="AX72" s="7" t="n">
        <f aca="false">VLOOKUP($F72,Category!$A$2:$AZ$20,31,0)</f>
        <v>0.333333333333333</v>
      </c>
      <c r="AY72" s="7" t="n">
        <f aca="false">VLOOKUP($D72,Size!$A$2:$Z$13,16,0)</f>
        <v>5</v>
      </c>
      <c r="AZ72" s="7" t="n">
        <f aca="false">VLOOKUP($E72,Role!$A$2:$O$9,11,0)</f>
        <v>0.75</v>
      </c>
      <c r="BB72" s="5" t="n">
        <f aca="false">VLOOKUP($D72,Size!$A$2:$Z$13,19,0)</f>
        <v>20</v>
      </c>
      <c r="BC72" s="5" t="n">
        <f aca="false">VLOOKUP($D72,Size!$A$2:$Z$13,20,0)</f>
        <v>10</v>
      </c>
      <c r="BD72" s="5" t="n">
        <f aca="false">VLOOKUP($E72,Role!$A$2:$O$9,13,0)</f>
        <v>0.75</v>
      </c>
      <c r="BE72" s="5" t="n">
        <f aca="false">VLOOKUP($C72,Type!$A$2:$B$4,2,0)</f>
        <v>1</v>
      </c>
    </row>
    <row r="73" customFormat="false" ht="12.8" hidden="false" customHeight="false" outlineLevel="0" collapsed="false">
      <c r="B73" s="2" t="n">
        <v>2</v>
      </c>
      <c r="C73" s="3" t="s">
        <v>51</v>
      </c>
      <c r="D73" s="1" t="s">
        <v>76</v>
      </c>
      <c r="E73" s="1" t="s">
        <v>66</v>
      </c>
      <c r="F73" s="1" t="s">
        <v>67</v>
      </c>
      <c r="G73" s="1" t="s">
        <v>79</v>
      </c>
      <c r="H73" s="4" t="n">
        <f aca="false">VLOOKUP($D73,Size!$A$2:$F$13,6,0)</f>
        <v>7</v>
      </c>
      <c r="J73" s="12" t="n">
        <f aca="false">INT(($B73*$AY73*$AW73*$AZ73)+($B73*$AX73))</f>
        <v>3</v>
      </c>
      <c r="K73" s="4" t="n">
        <f aca="false">ROUND((($B73*$AT73)+($AV73*$AU73)),0)</f>
        <v>1</v>
      </c>
      <c r="L73" s="4" t="n">
        <f aca="false">ROUND((($B73*$AP73)+($B73*$AQ73))*$AR73,0)</f>
        <v>1</v>
      </c>
      <c r="M73" s="4" t="n">
        <f aca="false">ROUND((($B73*$AM73)+($B73*$AN73))*$AO73,0)</f>
        <v>1</v>
      </c>
      <c r="N73" s="4" t="n">
        <f aca="false">ROUND((($B73*$AG73)+($B73*$AH73))*$AI73,0)</f>
        <v>1</v>
      </c>
      <c r="O73" s="4" t="n">
        <f aca="false">ROUND((($B73*$AJ73)+($B73*$AK73))*$AL73,0)</f>
        <v>1</v>
      </c>
      <c r="Q73" s="4" t="n">
        <f aca="false">INT(VLOOKUP($E73,Role!$A$2:$O$9,8,0)*$B73)</f>
        <v>1</v>
      </c>
      <c r="R73" s="4" t="n">
        <f aca="false">INT(VLOOKUP($E73,Role!$A$2:$O$9,9,0)*$B73)</f>
        <v>1</v>
      </c>
      <c r="S73" s="4" t="n">
        <f aca="false">INT(VLOOKUP($E73,Role!$A$2:$P$9,16,0)*$B73*$AS73)</f>
        <v>0</v>
      </c>
      <c r="T73" s="4" t="n">
        <f aca="false">INT(VLOOKUP($D73,Size!$A$2:$Z$13,18,0)*VLOOKUP($E73,Role!$A$2:$O$9,13,0)*$B73/2)</f>
        <v>34</v>
      </c>
      <c r="U73" s="4" t="n">
        <f aca="false">INT(($BB73*$BE73)+($J73*$BC73))</f>
        <v>58</v>
      </c>
      <c r="V73" s="4" t="n">
        <f aca="false">INT((10+$N73)*VLOOKUP($E73,Role!$A$2:$O$9,14,0))</f>
        <v>11</v>
      </c>
      <c r="W73" s="4" t="n">
        <f aca="false">INT($J73*VLOOKUP($E73,Role!$A$2:$O$9,12,0))</f>
        <v>2</v>
      </c>
      <c r="Y73" s="2" t="n">
        <f aca="false">ROUND(MAX($K73,$M73)+(MIN($K73,$M73)*VLOOKUP($E73,Role!$A$2:$O$9,14,0)),0)</f>
        <v>2</v>
      </c>
      <c r="Z73" s="2" t="n">
        <f aca="false">MAX(1,INT(((MIN($J73:$K73)+(MAX($J73:$K73)*$H73*VLOOKUP($E73,Role!$A$2:$O$9,15,0))))*VLOOKUP($G73,Movement!$A$2:$C$7,3,0)))</f>
        <v>33</v>
      </c>
      <c r="AB73" s="5" t="n">
        <f aca="false">INT(5+(($H73-1)/3))</f>
        <v>7</v>
      </c>
      <c r="AC73" s="5" t="n">
        <f aca="false">IF($AB73&lt;$J73,$J73-MAX($AB73,$B73),0)</f>
        <v>0</v>
      </c>
      <c r="AD73" s="5" t="n">
        <f aca="false">(5-ROUND(($H73-1)/3,0))</f>
        <v>3</v>
      </c>
      <c r="AE73" s="5" t="n">
        <f aca="false">IF($AD73&lt;$K73,$K73-MAX($AD73,$B73),0)</f>
        <v>0</v>
      </c>
      <c r="AG73" s="6" t="n">
        <f aca="false">VLOOKUP($F73,Category!$A$2:$AZ$20,24,0)</f>
        <v>0</v>
      </c>
      <c r="AH73" s="6" t="n">
        <f aca="false">VLOOKUP($F73,Category!$A$2:$AZ$20,26,0)</f>
        <v>0.333333333333333</v>
      </c>
      <c r="AI73" s="6" t="n">
        <f aca="false">VLOOKUP($E73,Role!$A$2:$O$9,10,0)</f>
        <v>0.75</v>
      </c>
      <c r="AJ73" s="6" t="n">
        <f aca="false">VLOOKUP($F73,Category!$A$2:$AZ$20,19,0)</f>
        <v>0.0909090909090909</v>
      </c>
      <c r="AK73" s="6" t="n">
        <f aca="false">VLOOKUP($F73,Category!$A$2:$AZ$20,21,0)</f>
        <v>0.545454545454545</v>
      </c>
      <c r="AL73" s="6" t="n">
        <f aca="false">1</f>
        <v>1</v>
      </c>
      <c r="AM73" s="6" t="n">
        <f aca="false">VLOOKUP($F73,Category!$A$2:$AZ$20,19,0)</f>
        <v>0.0909090909090909</v>
      </c>
      <c r="AN73" s="6" t="n">
        <f aca="false">VLOOKUP($F73,Category!$A$2:$AZ$20,21,0)</f>
        <v>0.545454545454545</v>
      </c>
      <c r="AO73" s="6" t="n">
        <f aca="false">VLOOKUP($E73,Role!$A$2:$O$9,10,0)</f>
        <v>0.75</v>
      </c>
      <c r="AP73" s="6" t="n">
        <f aca="false">VLOOKUP($F73,Category!$A$2:$AZ$20,9,0)</f>
        <v>0</v>
      </c>
      <c r="AQ73" s="6" t="n">
        <f aca="false">VLOOKUP($F73,Category!$A$2:$AZ$20,11,0)</f>
        <v>0.555555555555556</v>
      </c>
      <c r="AR73" s="6" t="n">
        <f aca="false">VLOOKUP($E73,Role!$A$2:$O$9,10,0)</f>
        <v>0.75</v>
      </c>
      <c r="AS73" s="6" t="n">
        <f aca="false">VLOOKUP($F73,Category!$A$2:$AZ$20,10,0)</f>
        <v>0.555555555555556</v>
      </c>
      <c r="AT73" s="7" t="n">
        <f aca="false">VLOOKUP($F73,Category!$A$2:$AZ$20,14,0)</f>
        <v>0.416666666666667</v>
      </c>
      <c r="AU73" s="7" t="n">
        <f aca="false">VLOOKUP($F73,Category!$A$2:$AZ$20,16,0)</f>
        <v>0.25</v>
      </c>
      <c r="AV73" s="7" t="n">
        <f aca="false">VLOOKUP($D73,Size!$A$2:$Z$13,17,0)</f>
        <v>2</v>
      </c>
      <c r="AW73" s="7" t="n">
        <f aca="false">VLOOKUP($F73,Category!$A$2:$AZ$20,29,0)</f>
        <v>0.333333333333333</v>
      </c>
      <c r="AX73" s="7" t="n">
        <f aca="false">VLOOKUP($F73,Category!$A$2:$AZ$20,31,0)</f>
        <v>0.333333333333333</v>
      </c>
      <c r="AY73" s="7" t="n">
        <f aca="false">VLOOKUP($D73,Size!$A$2:$Z$13,16,0)</f>
        <v>5</v>
      </c>
      <c r="AZ73" s="7" t="n">
        <f aca="false">VLOOKUP($E73,Role!$A$2:$O$9,11,0)</f>
        <v>0.75</v>
      </c>
      <c r="BB73" s="5" t="n">
        <f aca="false">VLOOKUP($D73,Size!$A$2:$Z$13,19,0)</f>
        <v>22</v>
      </c>
      <c r="BC73" s="5" t="n">
        <f aca="false">VLOOKUP($D73,Size!$A$2:$Z$13,20,0)</f>
        <v>12</v>
      </c>
      <c r="BD73" s="5" t="n">
        <f aca="false">VLOOKUP($E73,Role!$A$2:$O$9,13,0)</f>
        <v>0.75</v>
      </c>
      <c r="BE73" s="5" t="n">
        <f aca="false">VLOOKUP($C73,Type!$A$2:$B$4,2,0)</f>
        <v>1</v>
      </c>
    </row>
    <row r="74" customFormat="false" ht="12.8" hidden="false" customHeight="false" outlineLevel="0" collapsed="false">
      <c r="C74" s="3" t="s">
        <v>51</v>
      </c>
      <c r="J74" s="12" t="e">
        <f aca="false">INT(($B74*$AY74*$AW74*$AZ74)+($B74*$AX74))</f>
        <v>#N/A</v>
      </c>
      <c r="K74" s="4" t="e">
        <f aca="false">ROUND((($B74*$AT74)+($AV74*$AU74)),0)</f>
        <v>#N/A</v>
      </c>
      <c r="L74" s="4" t="e">
        <f aca="false">ROUND((($B74*$AP74)+($B74*$AQ74))*$AR74,0)</f>
        <v>#N/A</v>
      </c>
      <c r="M74" s="4" t="e">
        <f aca="false">ROUND((($B74*$AM74)+($B74*$AN74))*$AO74,0)</f>
        <v>#N/A</v>
      </c>
      <c r="N74" s="4" t="e">
        <f aca="false">ROUND((($B74*$AG74)+($B74*$AH74))*$AI74,0)</f>
        <v>#N/A</v>
      </c>
      <c r="O74" s="4" t="e">
        <f aca="false">ROUND((($B74*$AJ74)+($B74*$AK74))*$AL74,0)</f>
        <v>#N/A</v>
      </c>
      <c r="S74" s="4" t="e">
        <f aca="false">INT(VLOOKUP($E74,Role!$A$2:$P$9,16,0)*$B74*$AS74)</f>
        <v>#N/A</v>
      </c>
      <c r="U74" s="4" t="e">
        <f aca="false">INT(($BB74*$BE74)+($J74*$BC74))</f>
        <v>#N/A</v>
      </c>
      <c r="AC74" s="5" t="e">
        <f aca="false">IF($AB74&lt;$J74,$J74-MAX($AB74,$B74),0)</f>
        <v>#N/A</v>
      </c>
      <c r="AE74" s="5" t="e">
        <f aca="false">IF($AD74&lt;$K74,$K74-MAX($AD74,$B74),0)</f>
        <v>#N/A</v>
      </c>
      <c r="AG74" s="6" t="e">
        <f aca="false">VLOOKUP($F74,Category!$A$2:$AZ$20,24,0)</f>
        <v>#N/A</v>
      </c>
      <c r="AH74" s="6" t="e">
        <f aca="false">VLOOKUP($F74,Category!$A$2:$AZ$20,26,0)</f>
        <v>#N/A</v>
      </c>
      <c r="AI74" s="6" t="e">
        <f aca="false">VLOOKUP($E74,Role!$A$2:$O$9,10,0)</f>
        <v>#N/A</v>
      </c>
      <c r="AJ74" s="6" t="e">
        <f aca="false">VLOOKUP($F74,Category!$A$2:$AZ$20,19,0)</f>
        <v>#N/A</v>
      </c>
      <c r="AK74" s="6" t="e">
        <f aca="false">VLOOKUP($F74,Category!$A$2:$AZ$20,21,0)</f>
        <v>#N/A</v>
      </c>
      <c r="AL74" s="6" t="n">
        <f aca="false">1</f>
        <v>1</v>
      </c>
      <c r="AM74" s="6" t="e">
        <f aca="false">VLOOKUP($F74,Category!$A$2:$AZ$20,19,0)</f>
        <v>#N/A</v>
      </c>
      <c r="AN74" s="6" t="e">
        <f aca="false">VLOOKUP($F74,Category!$A$2:$AZ$20,21,0)</f>
        <v>#N/A</v>
      </c>
      <c r="AO74" s="6" t="e">
        <f aca="false">VLOOKUP($E74,Role!$A$2:$O$9,10,0)</f>
        <v>#N/A</v>
      </c>
      <c r="AP74" s="6" t="e">
        <f aca="false">VLOOKUP($F74,Category!$A$2:$AZ$20,9,0)</f>
        <v>#N/A</v>
      </c>
      <c r="AQ74" s="6" t="e">
        <f aca="false">VLOOKUP($F74,Category!$A$2:$AZ$20,11,0)</f>
        <v>#N/A</v>
      </c>
      <c r="AR74" s="6" t="e">
        <f aca="false">VLOOKUP($E74,Role!$A$2:$O$9,10,0)</f>
        <v>#N/A</v>
      </c>
      <c r="AS74" s="6" t="e">
        <f aca="false">VLOOKUP($F74,Category!$A$2:$AZ$20,10,0)</f>
        <v>#N/A</v>
      </c>
      <c r="AT74" s="7" t="e">
        <f aca="false">VLOOKUP($F74,Category!$A$2:$AZ$20,14,0)</f>
        <v>#N/A</v>
      </c>
      <c r="AU74" s="7" t="e">
        <f aca="false">VLOOKUP($F74,Category!$A$2:$AZ$20,16,0)</f>
        <v>#N/A</v>
      </c>
      <c r="AV74" s="7" t="e">
        <f aca="false">VLOOKUP($D74,Size!$A$2:$Z$13,17,0)</f>
        <v>#N/A</v>
      </c>
      <c r="AW74" s="7" t="e">
        <f aca="false">VLOOKUP($F74,Category!$A$2:$AZ$20,29,0)</f>
        <v>#N/A</v>
      </c>
      <c r="AX74" s="7" t="e">
        <f aca="false">VLOOKUP($F74,Category!$A$2:$AZ$20,31,0)</f>
        <v>#N/A</v>
      </c>
      <c r="AY74" s="7" t="e">
        <f aca="false">VLOOKUP($D74,Size!$A$2:$Z$13,16,0)</f>
        <v>#N/A</v>
      </c>
      <c r="AZ74" s="7" t="e">
        <f aca="false">VLOOKUP($E74,Role!$A$2:$O$9,11,0)</f>
        <v>#N/A</v>
      </c>
      <c r="BB74" s="5" t="e">
        <f aca="false">VLOOKUP($D74,Size!$A$2:$Z$13,19,0)</f>
        <v>#N/A</v>
      </c>
      <c r="BC74" s="5" t="e">
        <f aca="false">VLOOKUP($D74,Size!$A$2:$Z$13,20,0)</f>
        <v>#N/A</v>
      </c>
      <c r="BD74" s="5" t="e">
        <f aca="false">VLOOKUP($E74,Role!$A$2:$O$9,13,0)</f>
        <v>#N/A</v>
      </c>
      <c r="BE74" s="5" t="n">
        <f aca="false">VLOOKUP($C74,Type!$A$2:$B$4,2,0)</f>
        <v>1</v>
      </c>
    </row>
    <row r="75" customFormat="false" ht="12.8" hidden="false" customHeight="false" outlineLevel="0" collapsed="false">
      <c r="B75" s="2" t="n">
        <v>3</v>
      </c>
      <c r="C75" s="3" t="s">
        <v>51</v>
      </c>
      <c r="D75" s="1" t="s">
        <v>65</v>
      </c>
      <c r="E75" s="1" t="s">
        <v>66</v>
      </c>
      <c r="F75" s="1" t="s">
        <v>67</v>
      </c>
      <c r="G75" s="1" t="s">
        <v>79</v>
      </c>
      <c r="H75" s="4" t="n">
        <f aca="false">VLOOKUP($D75,Size!$A$2:$F$13,6,0)</f>
        <v>-3</v>
      </c>
      <c r="J75" s="12" t="n">
        <f aca="false">INT(($B75*$AY75*$AW75*$AZ75)+($B75*$AX75))</f>
        <v>1</v>
      </c>
      <c r="K75" s="4" t="n">
        <f aca="false">ROUND((($B75*$AT75)+($AV75*$AU75)),0)</f>
        <v>2</v>
      </c>
      <c r="L75" s="4" t="n">
        <f aca="false">ROUND((($B75*$AP75)+($B75*$AQ75))*$AR75,0)</f>
        <v>1</v>
      </c>
      <c r="M75" s="4" t="n">
        <f aca="false">ROUND((($B75*$AM75)+($B75*$AN75))*$AO75,0)</f>
        <v>1</v>
      </c>
      <c r="N75" s="4" t="n">
        <f aca="false">ROUND((($B75*$AG75)+($B75*$AH75))*$AI75,0)</f>
        <v>1</v>
      </c>
      <c r="O75" s="4" t="n">
        <f aca="false">ROUND((($B75*$AJ75)+($B75*$AK75))*$AL75,0)</f>
        <v>2</v>
      </c>
      <c r="Q75" s="4" t="n">
        <f aca="false">INT(VLOOKUP($E75,Role!$A$2:$O$9,8,0)*$B75)</f>
        <v>2</v>
      </c>
      <c r="R75" s="4" t="n">
        <f aca="false">INT(VLOOKUP($E75,Role!$A$2:$O$9,9,0)*$B75)</f>
        <v>2</v>
      </c>
      <c r="S75" s="4" t="n">
        <f aca="false">INT(VLOOKUP($E75,Role!$A$2:$P$9,16,0)*$B75*$AS75)</f>
        <v>0</v>
      </c>
      <c r="T75" s="4" t="n">
        <f aca="false">INT(VLOOKUP($D75,Size!$A$2:$Z$13,18,0)*VLOOKUP($E75,Role!$A$2:$O$9,13,0)*$B75/2)</f>
        <v>3</v>
      </c>
      <c r="U75" s="4" t="n">
        <f aca="false">INT(($BB75*$BE75)+($J75*$BC75))</f>
        <v>6</v>
      </c>
      <c r="V75" s="4" t="n">
        <f aca="false">INT((10+$N75)*VLOOKUP($E75,Role!$A$2:$O$9,14,0))</f>
        <v>11</v>
      </c>
      <c r="W75" s="4" t="n">
        <f aca="false">INT($J75*VLOOKUP($E75,Role!$A$2:$O$9,12,0))</f>
        <v>0</v>
      </c>
      <c r="Y75" s="2" t="n">
        <f aca="false">ROUND(MAX($K75,$M75)+(MIN($K75,$M75)*VLOOKUP($E75,Role!$A$2:$O$9,14,0)),0)</f>
        <v>3</v>
      </c>
      <c r="Z75" s="2" t="n">
        <f aca="false">MAX(1,INT(((MIN($J75:$K75)+(MAX($J75:$K75)*$H75*VLOOKUP($E75,Role!$A$2:$O$9,15,0))))*VLOOKUP($G75,Movement!$A$2:$C$7,3,0)))</f>
        <v>1</v>
      </c>
      <c r="AB75" s="5" t="n">
        <f aca="false">INT(5+(($H75-1)/3))</f>
        <v>3</v>
      </c>
      <c r="AC75" s="5" t="n">
        <f aca="false">IF($AB75&lt;$J75,$J75-MAX($AB75,$B75),0)</f>
        <v>0</v>
      </c>
      <c r="AD75" s="5" t="n">
        <f aca="false">(5-ROUND(($H75-1)/3,0))</f>
        <v>6</v>
      </c>
      <c r="AE75" s="5" t="n">
        <f aca="false">IF($AD75&lt;$K75,$K75-MAX($AD75,$B75),0)</f>
        <v>0</v>
      </c>
      <c r="AG75" s="6" t="n">
        <f aca="false">VLOOKUP($F75,Category!$A$2:$AZ$20,24,0)</f>
        <v>0</v>
      </c>
      <c r="AH75" s="6" t="n">
        <f aca="false">VLOOKUP($F75,Category!$A$2:$AZ$20,26,0)</f>
        <v>0.333333333333333</v>
      </c>
      <c r="AI75" s="6" t="n">
        <f aca="false">VLOOKUP($E75,Role!$A$2:$O$9,10,0)</f>
        <v>0.75</v>
      </c>
      <c r="AJ75" s="6" t="n">
        <f aca="false">VLOOKUP($F75,Category!$A$2:$AZ$20,19,0)</f>
        <v>0.0909090909090909</v>
      </c>
      <c r="AK75" s="6" t="n">
        <f aca="false">VLOOKUP($F75,Category!$A$2:$AZ$20,21,0)</f>
        <v>0.545454545454545</v>
      </c>
      <c r="AL75" s="6" t="n">
        <f aca="false">1</f>
        <v>1</v>
      </c>
      <c r="AM75" s="6" t="n">
        <f aca="false">VLOOKUP($F75,Category!$A$2:$AZ$20,19,0)</f>
        <v>0.0909090909090909</v>
      </c>
      <c r="AN75" s="6" t="n">
        <f aca="false">VLOOKUP($F75,Category!$A$2:$AZ$20,21,0)</f>
        <v>0.545454545454545</v>
      </c>
      <c r="AO75" s="6" t="n">
        <f aca="false">VLOOKUP($E75,Role!$A$2:$O$9,10,0)</f>
        <v>0.75</v>
      </c>
      <c r="AP75" s="6" t="n">
        <f aca="false">VLOOKUP($F75,Category!$A$2:$AZ$20,9,0)</f>
        <v>0</v>
      </c>
      <c r="AQ75" s="6" t="n">
        <f aca="false">VLOOKUP($F75,Category!$A$2:$AZ$20,11,0)</f>
        <v>0.555555555555556</v>
      </c>
      <c r="AR75" s="6" t="n">
        <f aca="false">VLOOKUP($E75,Role!$A$2:$O$9,10,0)</f>
        <v>0.75</v>
      </c>
      <c r="AS75" s="6" t="n">
        <f aca="false">VLOOKUP($F75,Category!$A$2:$AZ$20,10,0)</f>
        <v>0.555555555555556</v>
      </c>
      <c r="AT75" s="7" t="n">
        <f aca="false">VLOOKUP($F75,Category!$A$2:$AZ$20,14,0)</f>
        <v>0.416666666666667</v>
      </c>
      <c r="AU75" s="7" t="n">
        <f aca="false">VLOOKUP($F75,Category!$A$2:$AZ$20,16,0)</f>
        <v>0.25</v>
      </c>
      <c r="AV75" s="7" t="n">
        <f aca="false">VLOOKUP($D75,Size!$A$2:$Z$13,17,0)</f>
        <v>4</v>
      </c>
      <c r="AW75" s="7" t="n">
        <f aca="false">VLOOKUP($F75,Category!$A$2:$AZ$20,29,0)</f>
        <v>0.333333333333333</v>
      </c>
      <c r="AX75" s="7" t="n">
        <f aca="false">VLOOKUP($F75,Category!$A$2:$AZ$20,31,0)</f>
        <v>0.333333333333333</v>
      </c>
      <c r="AY75" s="7" t="n">
        <f aca="false">VLOOKUP($D75,Size!$A$2:$Z$13,16,0)</f>
        <v>1</v>
      </c>
      <c r="AZ75" s="7" t="n">
        <f aca="false">VLOOKUP($E75,Role!$A$2:$O$9,11,0)</f>
        <v>0.75</v>
      </c>
      <c r="BB75" s="5" t="n">
        <f aca="false">VLOOKUP($D75,Size!$A$2:$Z$13,19,0)</f>
        <v>6</v>
      </c>
      <c r="BC75" s="5" t="n">
        <f aca="false">VLOOKUP($D75,Size!$A$2:$Z$13,20,0)</f>
        <v>0.33</v>
      </c>
      <c r="BD75" s="5" t="n">
        <f aca="false">VLOOKUP($E75,Role!$A$2:$O$9,13,0)</f>
        <v>0.75</v>
      </c>
      <c r="BE75" s="5" t="n">
        <f aca="false">VLOOKUP($C75,Type!$A$2:$B$4,2,0)</f>
        <v>1</v>
      </c>
    </row>
    <row r="76" customFormat="false" ht="12.8" hidden="false" customHeight="false" outlineLevel="0" collapsed="false">
      <c r="B76" s="2" t="n">
        <v>3</v>
      </c>
      <c r="C76" s="3" t="s">
        <v>51</v>
      </c>
      <c r="D76" s="1" t="s">
        <v>68</v>
      </c>
      <c r="E76" s="1" t="s">
        <v>66</v>
      </c>
      <c r="F76" s="1" t="s">
        <v>67</v>
      </c>
      <c r="G76" s="1" t="s">
        <v>79</v>
      </c>
      <c r="H76" s="4" t="n">
        <f aca="false">VLOOKUP($D76,Size!$A$2:$F$13,6,0)</f>
        <v>-2</v>
      </c>
      <c r="J76" s="12" t="n">
        <f aca="false">INT(($B76*$AY76*$AW76*$AZ76)+($B76*$AX76))</f>
        <v>2</v>
      </c>
      <c r="K76" s="4" t="n">
        <f aca="false">ROUND((($B76*$AT76)+($AV76*$AU76)),0)</f>
        <v>2</v>
      </c>
      <c r="L76" s="4" t="n">
        <f aca="false">ROUND((($B76*$AP76)+($B76*$AQ76))*$AR76,0)</f>
        <v>1</v>
      </c>
      <c r="M76" s="4" t="n">
        <f aca="false">ROUND((($B76*$AM76)+($B76*$AN76))*$AO76,0)</f>
        <v>1</v>
      </c>
      <c r="N76" s="4" t="n">
        <f aca="false">ROUND((($B76*$AG76)+($B76*$AH76))*$AI76,0)</f>
        <v>1</v>
      </c>
      <c r="O76" s="4" t="n">
        <f aca="false">ROUND((($B76*$AJ76)+($B76*$AK76))*$AL76,0)</f>
        <v>2</v>
      </c>
      <c r="Q76" s="4" t="n">
        <f aca="false">INT(VLOOKUP($E76,Role!$A$2:$O$9,8,0)*$B76)</f>
        <v>2</v>
      </c>
      <c r="R76" s="4" t="n">
        <f aca="false">INT(VLOOKUP($E76,Role!$A$2:$O$9,9,0)*$B76)</f>
        <v>2</v>
      </c>
      <c r="S76" s="4" t="n">
        <f aca="false">INT(VLOOKUP($E76,Role!$A$2:$P$9,16,0)*$B76*$AS76)</f>
        <v>0</v>
      </c>
      <c r="T76" s="4" t="n">
        <f aca="false">INT(VLOOKUP($D76,Size!$A$2:$Z$13,18,0)*VLOOKUP($E76,Role!$A$2:$O$9,13,0)*$B76/2)</f>
        <v>7</v>
      </c>
      <c r="U76" s="4" t="n">
        <f aca="false">INT(($BB76*$BE76)+($J76*$BC76))</f>
        <v>8</v>
      </c>
      <c r="V76" s="4" t="n">
        <f aca="false">INT((10+$N76)*VLOOKUP($E76,Role!$A$2:$O$9,14,0))</f>
        <v>11</v>
      </c>
      <c r="W76" s="4" t="n">
        <f aca="false">INT($J76*VLOOKUP($E76,Role!$A$2:$O$9,12,0))</f>
        <v>1</v>
      </c>
      <c r="Y76" s="2" t="n">
        <f aca="false">ROUND(MAX($K76,$M76)+(MIN($K76,$M76)*VLOOKUP($E76,Role!$A$2:$O$9,14,0)),0)</f>
        <v>3</v>
      </c>
      <c r="Z76" s="2" t="n">
        <f aca="false">MAX(1,INT(((MIN($J76:$K76)+(MAX($J76:$K76)*$H76*VLOOKUP($E76,Role!$A$2:$O$9,15,0))))*VLOOKUP($G76,Movement!$A$2:$C$7,3,0)))</f>
        <v>1</v>
      </c>
      <c r="AB76" s="5" t="n">
        <f aca="false">INT(5+(($H76-1)/3))</f>
        <v>4</v>
      </c>
      <c r="AC76" s="5" t="n">
        <f aca="false">IF($AB76&lt;$J76,$J76-MAX($AB76,$B76),0)</f>
        <v>0</v>
      </c>
      <c r="AD76" s="5" t="n">
        <f aca="false">(5-ROUND(($H76-1)/3,0))</f>
        <v>6</v>
      </c>
      <c r="AE76" s="5" t="n">
        <f aca="false">IF($AD76&lt;$K76,$K76-MAX($AD76,$B76),0)</f>
        <v>0</v>
      </c>
      <c r="AG76" s="6" t="n">
        <f aca="false">VLOOKUP($F76,Category!$A$2:$AZ$20,24,0)</f>
        <v>0</v>
      </c>
      <c r="AH76" s="6" t="n">
        <f aca="false">VLOOKUP($F76,Category!$A$2:$AZ$20,26,0)</f>
        <v>0.333333333333333</v>
      </c>
      <c r="AI76" s="6" t="n">
        <f aca="false">VLOOKUP($E76,Role!$A$2:$O$9,10,0)</f>
        <v>0.75</v>
      </c>
      <c r="AJ76" s="6" t="n">
        <f aca="false">VLOOKUP($F76,Category!$A$2:$AZ$20,19,0)</f>
        <v>0.0909090909090909</v>
      </c>
      <c r="AK76" s="6" t="n">
        <f aca="false">VLOOKUP($F76,Category!$A$2:$AZ$20,21,0)</f>
        <v>0.545454545454545</v>
      </c>
      <c r="AL76" s="6" t="n">
        <f aca="false">1</f>
        <v>1</v>
      </c>
      <c r="AM76" s="6" t="n">
        <f aca="false">VLOOKUP($F76,Category!$A$2:$AZ$20,19,0)</f>
        <v>0.0909090909090909</v>
      </c>
      <c r="AN76" s="6" t="n">
        <f aca="false">VLOOKUP($F76,Category!$A$2:$AZ$20,21,0)</f>
        <v>0.545454545454545</v>
      </c>
      <c r="AO76" s="6" t="n">
        <f aca="false">VLOOKUP($E76,Role!$A$2:$O$9,10,0)</f>
        <v>0.75</v>
      </c>
      <c r="AP76" s="6" t="n">
        <f aca="false">VLOOKUP($F76,Category!$A$2:$AZ$20,9,0)</f>
        <v>0</v>
      </c>
      <c r="AQ76" s="6" t="n">
        <f aca="false">VLOOKUP($F76,Category!$A$2:$AZ$20,11,0)</f>
        <v>0.555555555555556</v>
      </c>
      <c r="AR76" s="6" t="n">
        <f aca="false">VLOOKUP($E76,Role!$A$2:$O$9,10,0)</f>
        <v>0.75</v>
      </c>
      <c r="AS76" s="6" t="n">
        <f aca="false">VLOOKUP($F76,Category!$A$2:$AZ$20,10,0)</f>
        <v>0.555555555555556</v>
      </c>
      <c r="AT76" s="7" t="n">
        <f aca="false">VLOOKUP($F76,Category!$A$2:$AZ$20,14,0)</f>
        <v>0.416666666666667</v>
      </c>
      <c r="AU76" s="7" t="n">
        <f aca="false">VLOOKUP($F76,Category!$A$2:$AZ$20,16,0)</f>
        <v>0.25</v>
      </c>
      <c r="AV76" s="7" t="n">
        <f aca="false">VLOOKUP($D76,Size!$A$2:$Z$13,17,0)</f>
        <v>3</v>
      </c>
      <c r="AW76" s="7" t="n">
        <f aca="false">VLOOKUP($F76,Category!$A$2:$AZ$20,29,0)</f>
        <v>0.333333333333333</v>
      </c>
      <c r="AX76" s="7" t="n">
        <f aca="false">VLOOKUP($F76,Category!$A$2:$AZ$20,31,0)</f>
        <v>0.333333333333333</v>
      </c>
      <c r="AY76" s="7" t="n">
        <f aca="false">VLOOKUP($D76,Size!$A$2:$Z$13,16,0)</f>
        <v>2</v>
      </c>
      <c r="AZ76" s="7" t="n">
        <f aca="false">VLOOKUP($E76,Role!$A$2:$O$9,11,0)</f>
        <v>0.75</v>
      </c>
      <c r="BB76" s="5" t="n">
        <f aca="false">VLOOKUP($D76,Size!$A$2:$Z$13,19,0)</f>
        <v>7</v>
      </c>
      <c r="BC76" s="5" t="n">
        <f aca="false">VLOOKUP($D76,Size!$A$2:$Z$13,20,0)</f>
        <v>0.5</v>
      </c>
      <c r="BD76" s="5" t="n">
        <f aca="false">VLOOKUP($E76,Role!$A$2:$O$9,13,0)</f>
        <v>0.75</v>
      </c>
      <c r="BE76" s="5" t="n">
        <f aca="false">VLOOKUP($C76,Type!$A$2:$B$4,2,0)</f>
        <v>1</v>
      </c>
    </row>
    <row r="77" customFormat="false" ht="12.8" hidden="false" customHeight="false" outlineLevel="0" collapsed="false">
      <c r="B77" s="2" t="n">
        <v>3</v>
      </c>
      <c r="C77" s="3" t="s">
        <v>51</v>
      </c>
      <c r="D77" s="1" t="s">
        <v>69</v>
      </c>
      <c r="E77" s="1" t="s">
        <v>66</v>
      </c>
      <c r="F77" s="1" t="s">
        <v>67</v>
      </c>
      <c r="G77" s="1" t="s">
        <v>79</v>
      </c>
      <c r="H77" s="4" t="n">
        <f aca="false">VLOOKUP($D77,Size!$A$2:$F$13,6,0)</f>
        <v>-1</v>
      </c>
      <c r="J77" s="12" t="n">
        <f aca="false">INT(($B77*$AY77*$AW77*$AZ77)+($B77*$AX77))</f>
        <v>2</v>
      </c>
      <c r="K77" s="4" t="n">
        <f aca="false">ROUND((($B77*$AT77)+($AV77*$AU77)),0)</f>
        <v>2</v>
      </c>
      <c r="L77" s="4" t="n">
        <f aca="false">ROUND((($B77*$AP77)+($B77*$AQ77))*$AR77,0)</f>
        <v>1</v>
      </c>
      <c r="M77" s="4" t="n">
        <f aca="false">ROUND((($B77*$AM77)+($B77*$AN77))*$AO77,0)</f>
        <v>1</v>
      </c>
      <c r="N77" s="4" t="n">
        <f aca="false">ROUND((($B77*$AG77)+($B77*$AH77))*$AI77,0)</f>
        <v>1</v>
      </c>
      <c r="O77" s="4" t="n">
        <f aca="false">ROUND((($B77*$AJ77)+($B77*$AK77))*$AL77,0)</f>
        <v>2</v>
      </c>
      <c r="Q77" s="4" t="n">
        <f aca="false">INT(VLOOKUP($E77,Role!$A$2:$O$9,8,0)*$B77)</f>
        <v>2</v>
      </c>
      <c r="R77" s="4" t="n">
        <f aca="false">INT(VLOOKUP($E77,Role!$A$2:$O$9,9,0)*$B77)</f>
        <v>2</v>
      </c>
      <c r="S77" s="4" t="n">
        <f aca="false">INT(VLOOKUP($E77,Role!$A$2:$P$9,16,0)*$B77*$AS77)</f>
        <v>0</v>
      </c>
      <c r="T77" s="4" t="n">
        <f aca="false">INT(VLOOKUP($D77,Size!$A$2:$Z$13,18,0)*VLOOKUP($E77,Role!$A$2:$O$9,13,0)*$B77/2)</f>
        <v>9</v>
      </c>
      <c r="U77" s="4" t="n">
        <f aca="false">INT(($BB77*$BE77)+($J77*$BC77))</f>
        <v>9</v>
      </c>
      <c r="V77" s="4" t="n">
        <f aca="false">INT((10+$N77)*VLOOKUP($E77,Role!$A$2:$O$9,14,0))</f>
        <v>11</v>
      </c>
      <c r="W77" s="4" t="n">
        <f aca="false">INT($J77*VLOOKUP($E77,Role!$A$2:$O$9,12,0))</f>
        <v>1</v>
      </c>
      <c r="Y77" s="2" t="n">
        <f aca="false">ROUND(MAX($K77,$M77)+(MIN($K77,$M77)*VLOOKUP($E77,Role!$A$2:$O$9,14,0)),0)</f>
        <v>3</v>
      </c>
      <c r="Z77" s="2" t="n">
        <f aca="false">MAX(1,INT(((MIN($J77:$K77)+(MAX($J77:$K77)*$H77*VLOOKUP($E77,Role!$A$2:$O$9,15,0))))*VLOOKUP($G77,Movement!$A$2:$C$7,3,0)))</f>
        <v>1</v>
      </c>
      <c r="AB77" s="5" t="n">
        <f aca="false">INT(5+(($H77-1)/3))</f>
        <v>4</v>
      </c>
      <c r="AC77" s="5" t="n">
        <f aca="false">IF($AB77&lt;$J77,$J77-MAX($AB77,$B77),0)</f>
        <v>0</v>
      </c>
      <c r="AD77" s="5" t="n">
        <f aca="false">(5-ROUND(($H77-1)/3,0))</f>
        <v>6</v>
      </c>
      <c r="AE77" s="5" t="n">
        <f aca="false">IF($AD77&lt;$K77,$K77-MAX($AD77,$B77),0)</f>
        <v>0</v>
      </c>
      <c r="AG77" s="6" t="n">
        <f aca="false">VLOOKUP($F77,Category!$A$2:$AZ$20,24,0)</f>
        <v>0</v>
      </c>
      <c r="AH77" s="6" t="n">
        <f aca="false">VLOOKUP($F77,Category!$A$2:$AZ$20,26,0)</f>
        <v>0.333333333333333</v>
      </c>
      <c r="AI77" s="6" t="n">
        <f aca="false">VLOOKUP($E77,Role!$A$2:$O$9,10,0)</f>
        <v>0.75</v>
      </c>
      <c r="AJ77" s="6" t="n">
        <f aca="false">VLOOKUP($F77,Category!$A$2:$AZ$20,19,0)</f>
        <v>0.0909090909090909</v>
      </c>
      <c r="AK77" s="6" t="n">
        <f aca="false">VLOOKUP($F77,Category!$A$2:$AZ$20,21,0)</f>
        <v>0.545454545454545</v>
      </c>
      <c r="AL77" s="6" t="n">
        <f aca="false">1</f>
        <v>1</v>
      </c>
      <c r="AM77" s="6" t="n">
        <f aca="false">VLOOKUP($F77,Category!$A$2:$AZ$20,19,0)</f>
        <v>0.0909090909090909</v>
      </c>
      <c r="AN77" s="6" t="n">
        <f aca="false">VLOOKUP($F77,Category!$A$2:$AZ$20,21,0)</f>
        <v>0.545454545454545</v>
      </c>
      <c r="AO77" s="6" t="n">
        <f aca="false">VLOOKUP($E77,Role!$A$2:$O$9,10,0)</f>
        <v>0.75</v>
      </c>
      <c r="AP77" s="6" t="n">
        <f aca="false">VLOOKUP($F77,Category!$A$2:$AZ$20,9,0)</f>
        <v>0</v>
      </c>
      <c r="AQ77" s="6" t="n">
        <f aca="false">VLOOKUP($F77,Category!$A$2:$AZ$20,11,0)</f>
        <v>0.555555555555556</v>
      </c>
      <c r="AR77" s="6" t="n">
        <f aca="false">VLOOKUP($E77,Role!$A$2:$O$9,10,0)</f>
        <v>0.75</v>
      </c>
      <c r="AS77" s="6" t="n">
        <f aca="false">VLOOKUP($F77,Category!$A$2:$AZ$20,10,0)</f>
        <v>0.555555555555556</v>
      </c>
      <c r="AT77" s="7" t="n">
        <f aca="false">VLOOKUP($F77,Category!$A$2:$AZ$20,14,0)</f>
        <v>0.416666666666667</v>
      </c>
      <c r="AU77" s="7" t="n">
        <f aca="false">VLOOKUP($F77,Category!$A$2:$AZ$20,16,0)</f>
        <v>0.25</v>
      </c>
      <c r="AV77" s="7" t="n">
        <f aca="false">VLOOKUP($D77,Size!$A$2:$Z$13,17,0)</f>
        <v>3</v>
      </c>
      <c r="AW77" s="7" t="n">
        <f aca="false">VLOOKUP($F77,Category!$A$2:$AZ$20,29,0)</f>
        <v>0.333333333333333</v>
      </c>
      <c r="AX77" s="7" t="n">
        <f aca="false">VLOOKUP($F77,Category!$A$2:$AZ$20,31,0)</f>
        <v>0.333333333333333</v>
      </c>
      <c r="AY77" s="7" t="n">
        <f aca="false">VLOOKUP($D77,Size!$A$2:$Z$13,16,0)</f>
        <v>2</v>
      </c>
      <c r="AZ77" s="7" t="n">
        <f aca="false">VLOOKUP($E77,Role!$A$2:$O$9,11,0)</f>
        <v>0.75</v>
      </c>
      <c r="BB77" s="5" t="n">
        <f aca="false">VLOOKUP($D77,Size!$A$2:$Z$13,19,0)</f>
        <v>8</v>
      </c>
      <c r="BC77" s="5" t="n">
        <f aca="false">VLOOKUP($D77,Size!$A$2:$Z$13,20,0)</f>
        <v>0.66</v>
      </c>
      <c r="BD77" s="5" t="n">
        <f aca="false">VLOOKUP($E77,Role!$A$2:$O$9,13,0)</f>
        <v>0.75</v>
      </c>
      <c r="BE77" s="5" t="n">
        <f aca="false">VLOOKUP($C77,Type!$A$2:$B$4,2,0)</f>
        <v>1</v>
      </c>
    </row>
    <row r="78" customFormat="false" ht="12.8" hidden="false" customHeight="false" outlineLevel="0" collapsed="false">
      <c r="B78" s="2" t="n">
        <v>3</v>
      </c>
      <c r="C78" s="3" t="s">
        <v>51</v>
      </c>
      <c r="D78" s="1" t="s">
        <v>70</v>
      </c>
      <c r="E78" s="1" t="s">
        <v>66</v>
      </c>
      <c r="F78" s="1" t="s">
        <v>67</v>
      </c>
      <c r="G78" s="1" t="s">
        <v>79</v>
      </c>
      <c r="H78" s="4" t="n">
        <f aca="false">VLOOKUP($D78,Size!$A$2:$F$13,6,0)</f>
        <v>0</v>
      </c>
      <c r="J78" s="12" t="n">
        <f aca="false">INT(($B78*$AY78*$AW78*$AZ78)+($B78*$AX78))</f>
        <v>2</v>
      </c>
      <c r="K78" s="4" t="n">
        <f aca="false">ROUND((($B78*$AT78)+($AV78*$AU78)),0)</f>
        <v>2</v>
      </c>
      <c r="L78" s="4" t="n">
        <f aca="false">ROUND((($B78*$AP78)+($B78*$AQ78))*$AR78,0)</f>
        <v>1</v>
      </c>
      <c r="M78" s="4" t="n">
        <f aca="false">ROUND((($B78*$AM78)+($B78*$AN78))*$AO78,0)</f>
        <v>1</v>
      </c>
      <c r="N78" s="4" t="n">
        <f aca="false">ROUND((($B78*$AG78)+($B78*$AH78))*$AI78,0)</f>
        <v>1</v>
      </c>
      <c r="O78" s="4" t="n">
        <f aca="false">ROUND((($B78*$AJ78)+($B78*$AK78))*$AL78,0)</f>
        <v>2</v>
      </c>
      <c r="Q78" s="4" t="n">
        <f aca="false">INT(VLOOKUP($E78,Role!$A$2:$O$9,8,0)*$B78)</f>
        <v>2</v>
      </c>
      <c r="R78" s="4" t="n">
        <f aca="false">INT(VLOOKUP($E78,Role!$A$2:$O$9,9,0)*$B78)</f>
        <v>2</v>
      </c>
      <c r="S78" s="4" t="n">
        <f aca="false">INT(VLOOKUP($E78,Role!$A$2:$P$9,16,0)*$B78*$AS78)</f>
        <v>0</v>
      </c>
      <c r="T78" s="4" t="n">
        <f aca="false">INT(VLOOKUP($D78,Size!$A$2:$Z$13,18,0)*VLOOKUP($E78,Role!$A$2:$O$9,13,0)*$B78/2)</f>
        <v>11</v>
      </c>
      <c r="U78" s="4" t="n">
        <f aca="false">INT(($BB78*$BE78)+($J78*$BC78))</f>
        <v>10</v>
      </c>
      <c r="V78" s="4" t="n">
        <f aca="false">INT((10+$N78)*VLOOKUP($E78,Role!$A$2:$O$9,14,0))</f>
        <v>11</v>
      </c>
      <c r="W78" s="4" t="n">
        <f aca="false">INT($J78*VLOOKUP($E78,Role!$A$2:$O$9,12,0))</f>
        <v>1</v>
      </c>
      <c r="Y78" s="2" t="n">
        <f aca="false">ROUND(MAX($K78,$M78)+(MIN($K78,$M78)*VLOOKUP($E78,Role!$A$2:$O$9,14,0)),0)</f>
        <v>3</v>
      </c>
      <c r="Z78" s="2" t="n">
        <f aca="false">MAX(1,INT(((MIN($J78:$K78)+(MAX($J78:$K78)*$H78*VLOOKUP($E78,Role!$A$2:$O$9,15,0))))*VLOOKUP($G78,Movement!$A$2:$C$7,3,0)))</f>
        <v>3</v>
      </c>
      <c r="AB78" s="5" t="n">
        <f aca="false">INT(5+(($H78-1)/3))</f>
        <v>4</v>
      </c>
      <c r="AC78" s="5" t="n">
        <f aca="false">IF($AB78&lt;$J78,$J78-MAX($AB78,$B78),0)</f>
        <v>0</v>
      </c>
      <c r="AD78" s="5" t="n">
        <f aca="false">(5-ROUND(($H78-1)/3,0))</f>
        <v>5</v>
      </c>
      <c r="AE78" s="5" t="n">
        <f aca="false">IF($AD78&lt;$K78,$K78-MAX($AD78,$B78),0)</f>
        <v>0</v>
      </c>
      <c r="AG78" s="6" t="n">
        <f aca="false">VLOOKUP($F78,Category!$A$2:$AZ$20,24,0)</f>
        <v>0</v>
      </c>
      <c r="AH78" s="6" t="n">
        <f aca="false">VLOOKUP($F78,Category!$A$2:$AZ$20,26,0)</f>
        <v>0.333333333333333</v>
      </c>
      <c r="AI78" s="6" t="n">
        <f aca="false">VLOOKUP($E78,Role!$A$2:$O$9,10,0)</f>
        <v>0.75</v>
      </c>
      <c r="AJ78" s="6" t="n">
        <f aca="false">VLOOKUP($F78,Category!$A$2:$AZ$20,19,0)</f>
        <v>0.0909090909090909</v>
      </c>
      <c r="AK78" s="6" t="n">
        <f aca="false">VLOOKUP($F78,Category!$A$2:$AZ$20,21,0)</f>
        <v>0.545454545454545</v>
      </c>
      <c r="AL78" s="6" t="n">
        <f aca="false">1</f>
        <v>1</v>
      </c>
      <c r="AM78" s="6" t="n">
        <f aca="false">VLOOKUP($F78,Category!$A$2:$AZ$20,19,0)</f>
        <v>0.0909090909090909</v>
      </c>
      <c r="AN78" s="6" t="n">
        <f aca="false">VLOOKUP($F78,Category!$A$2:$AZ$20,21,0)</f>
        <v>0.545454545454545</v>
      </c>
      <c r="AO78" s="6" t="n">
        <f aca="false">VLOOKUP($E78,Role!$A$2:$O$9,10,0)</f>
        <v>0.75</v>
      </c>
      <c r="AP78" s="6" t="n">
        <f aca="false">VLOOKUP($F78,Category!$A$2:$AZ$20,9,0)</f>
        <v>0</v>
      </c>
      <c r="AQ78" s="6" t="n">
        <f aca="false">VLOOKUP($F78,Category!$A$2:$AZ$20,11,0)</f>
        <v>0.555555555555556</v>
      </c>
      <c r="AR78" s="6" t="n">
        <f aca="false">VLOOKUP($E78,Role!$A$2:$O$9,10,0)</f>
        <v>0.75</v>
      </c>
      <c r="AS78" s="6" t="n">
        <f aca="false">VLOOKUP($F78,Category!$A$2:$AZ$20,10,0)</f>
        <v>0.555555555555556</v>
      </c>
      <c r="AT78" s="7" t="n">
        <f aca="false">VLOOKUP($F78,Category!$A$2:$AZ$20,14,0)</f>
        <v>0.416666666666667</v>
      </c>
      <c r="AU78" s="7" t="n">
        <f aca="false">VLOOKUP($F78,Category!$A$2:$AZ$20,16,0)</f>
        <v>0.25</v>
      </c>
      <c r="AV78" s="7" t="n">
        <f aca="false">VLOOKUP($D78,Size!$A$2:$Z$13,17,0)</f>
        <v>3</v>
      </c>
      <c r="AW78" s="7" t="n">
        <f aca="false">VLOOKUP($F78,Category!$A$2:$AZ$20,29,0)</f>
        <v>0.333333333333333</v>
      </c>
      <c r="AX78" s="7" t="n">
        <f aca="false">VLOOKUP($F78,Category!$A$2:$AZ$20,31,0)</f>
        <v>0.333333333333333</v>
      </c>
      <c r="AY78" s="7" t="n">
        <f aca="false">VLOOKUP($D78,Size!$A$2:$Z$13,16,0)</f>
        <v>2</v>
      </c>
      <c r="AZ78" s="7" t="n">
        <f aca="false">VLOOKUP($E78,Role!$A$2:$O$9,11,0)</f>
        <v>0.75</v>
      </c>
      <c r="BB78" s="5" t="n">
        <f aca="false">VLOOKUP($D78,Size!$A$2:$Z$13,19,0)</f>
        <v>9</v>
      </c>
      <c r="BC78" s="5" t="n">
        <f aca="false">VLOOKUP($D78,Size!$A$2:$Z$13,20,0)</f>
        <v>0.75</v>
      </c>
      <c r="BD78" s="5" t="n">
        <f aca="false">VLOOKUP($E78,Role!$A$2:$O$9,13,0)</f>
        <v>0.75</v>
      </c>
      <c r="BE78" s="5" t="n">
        <f aca="false">VLOOKUP($C78,Type!$A$2:$B$4,2,0)</f>
        <v>1</v>
      </c>
    </row>
    <row r="79" customFormat="false" ht="12.8" hidden="false" customHeight="false" outlineLevel="0" collapsed="false">
      <c r="B79" s="2" t="n">
        <v>3</v>
      </c>
      <c r="C79" s="3" t="s">
        <v>51</v>
      </c>
      <c r="D79" s="1" t="s">
        <v>52</v>
      </c>
      <c r="E79" s="1" t="s">
        <v>66</v>
      </c>
      <c r="F79" s="1" t="s">
        <v>67</v>
      </c>
      <c r="G79" s="1" t="s">
        <v>79</v>
      </c>
      <c r="H79" s="4" t="n">
        <f aca="false">VLOOKUP($D79,Size!$A$2:$F$13,6,0)</f>
        <v>1</v>
      </c>
      <c r="J79" s="12" t="n">
        <f aca="false">INT(($B79*$AY79*$AW79*$AZ79)+($B79*$AX79))</f>
        <v>3</v>
      </c>
      <c r="K79" s="4" t="n">
        <f aca="false">ROUND((($B79*$AT79)+($AV79*$AU79)),0)</f>
        <v>2</v>
      </c>
      <c r="L79" s="4" t="n">
        <f aca="false">ROUND((($B79*$AP79)+($B79*$AQ79))*$AR79,0)</f>
        <v>1</v>
      </c>
      <c r="M79" s="4" t="n">
        <f aca="false">ROUND((($B79*$AM79)+($B79*$AN79))*$AO79,0)</f>
        <v>1</v>
      </c>
      <c r="N79" s="4" t="n">
        <f aca="false">ROUND((($B79*$AG79)+($B79*$AH79))*$AI79,0)</f>
        <v>1</v>
      </c>
      <c r="O79" s="4" t="n">
        <f aca="false">ROUND((($B79*$AJ79)+($B79*$AK79))*$AL79,0)</f>
        <v>2</v>
      </c>
      <c r="Q79" s="4" t="n">
        <f aca="false">INT(VLOOKUP($E79,Role!$A$2:$O$9,8,0)*$B79)</f>
        <v>2</v>
      </c>
      <c r="R79" s="4" t="n">
        <f aca="false">INT(VLOOKUP($E79,Role!$A$2:$O$9,9,0)*$B79)</f>
        <v>2</v>
      </c>
      <c r="S79" s="4" t="n">
        <f aca="false">INT(VLOOKUP($E79,Role!$A$2:$P$9,16,0)*$B79*$AS79)</f>
        <v>0</v>
      </c>
      <c r="T79" s="4" t="n">
        <f aca="false">INT(VLOOKUP($D79,Size!$A$2:$Z$13,18,0)*VLOOKUP($E79,Role!$A$2:$O$9,13,0)*$B79/2)</f>
        <v>14</v>
      </c>
      <c r="U79" s="4" t="n">
        <f aca="false">INT(($BB79*$BE79)+($J79*$BC79))</f>
        <v>13</v>
      </c>
      <c r="V79" s="4" t="n">
        <f aca="false">INT((10+$N79)*VLOOKUP($E79,Role!$A$2:$O$9,14,0))</f>
        <v>11</v>
      </c>
      <c r="W79" s="4" t="n">
        <f aca="false">INT($J79*VLOOKUP($E79,Role!$A$2:$O$9,12,0))</f>
        <v>2</v>
      </c>
      <c r="Y79" s="2" t="n">
        <f aca="false">ROUND(MAX($K79,$M79)+(MIN($K79,$M79)*VLOOKUP($E79,Role!$A$2:$O$9,14,0)),0)</f>
        <v>3</v>
      </c>
      <c r="Z79" s="2" t="n">
        <f aca="false">MAX(1,INT(((MIN($J79:$K79)+(MAX($J79:$K79)*$H79*VLOOKUP($E79,Role!$A$2:$O$9,15,0))))*VLOOKUP($G79,Movement!$A$2:$C$7,3,0)))</f>
        <v>7</v>
      </c>
      <c r="AB79" s="5" t="n">
        <f aca="false">INT(5+(($H79-1)/3))</f>
        <v>5</v>
      </c>
      <c r="AC79" s="5" t="n">
        <f aca="false">IF($AB79&lt;$J79,$J79-MAX($AB79,$B79),0)</f>
        <v>0</v>
      </c>
      <c r="AD79" s="5" t="n">
        <f aca="false">(5-ROUND(($H79-1)/3,0))</f>
        <v>5</v>
      </c>
      <c r="AE79" s="5" t="n">
        <f aca="false">IF($AD79&lt;$K79,$K79-MAX($AD79,$B79),0)</f>
        <v>0</v>
      </c>
      <c r="AG79" s="6" t="n">
        <f aca="false">VLOOKUP($F79,Category!$A$2:$AZ$20,24,0)</f>
        <v>0</v>
      </c>
      <c r="AH79" s="6" t="n">
        <f aca="false">VLOOKUP($F79,Category!$A$2:$AZ$20,26,0)</f>
        <v>0.333333333333333</v>
      </c>
      <c r="AI79" s="6" t="n">
        <f aca="false">VLOOKUP($E79,Role!$A$2:$O$9,10,0)</f>
        <v>0.75</v>
      </c>
      <c r="AJ79" s="6" t="n">
        <f aca="false">VLOOKUP($F79,Category!$A$2:$AZ$20,19,0)</f>
        <v>0.0909090909090909</v>
      </c>
      <c r="AK79" s="6" t="n">
        <f aca="false">VLOOKUP($F79,Category!$A$2:$AZ$20,21,0)</f>
        <v>0.545454545454545</v>
      </c>
      <c r="AL79" s="6" t="n">
        <f aca="false">1</f>
        <v>1</v>
      </c>
      <c r="AM79" s="6" t="n">
        <f aca="false">VLOOKUP($F79,Category!$A$2:$AZ$20,19,0)</f>
        <v>0.0909090909090909</v>
      </c>
      <c r="AN79" s="6" t="n">
        <f aca="false">VLOOKUP($F79,Category!$A$2:$AZ$20,21,0)</f>
        <v>0.545454545454545</v>
      </c>
      <c r="AO79" s="6" t="n">
        <f aca="false">VLOOKUP($E79,Role!$A$2:$O$9,10,0)</f>
        <v>0.75</v>
      </c>
      <c r="AP79" s="6" t="n">
        <f aca="false">VLOOKUP($F79,Category!$A$2:$AZ$20,9,0)</f>
        <v>0</v>
      </c>
      <c r="AQ79" s="6" t="n">
        <f aca="false">VLOOKUP($F79,Category!$A$2:$AZ$20,11,0)</f>
        <v>0.555555555555556</v>
      </c>
      <c r="AR79" s="6" t="n">
        <f aca="false">VLOOKUP($E79,Role!$A$2:$O$9,10,0)</f>
        <v>0.75</v>
      </c>
      <c r="AS79" s="6" t="n">
        <f aca="false">VLOOKUP($F79,Category!$A$2:$AZ$20,10,0)</f>
        <v>0.555555555555556</v>
      </c>
      <c r="AT79" s="7" t="n">
        <f aca="false">VLOOKUP($F79,Category!$A$2:$AZ$20,14,0)</f>
        <v>0.416666666666667</v>
      </c>
      <c r="AU79" s="7" t="n">
        <f aca="false">VLOOKUP($F79,Category!$A$2:$AZ$20,16,0)</f>
        <v>0.25</v>
      </c>
      <c r="AV79" s="7" t="n">
        <f aca="false">VLOOKUP($D79,Size!$A$2:$Z$13,17,0)</f>
        <v>3</v>
      </c>
      <c r="AW79" s="7" t="n">
        <f aca="false">VLOOKUP($F79,Category!$A$2:$AZ$20,29,0)</f>
        <v>0.333333333333333</v>
      </c>
      <c r="AX79" s="7" t="n">
        <f aca="false">VLOOKUP($F79,Category!$A$2:$AZ$20,31,0)</f>
        <v>0.333333333333333</v>
      </c>
      <c r="AY79" s="7" t="n">
        <f aca="false">VLOOKUP($D79,Size!$A$2:$Z$13,16,0)</f>
        <v>3</v>
      </c>
      <c r="AZ79" s="7" t="n">
        <f aca="false">VLOOKUP($E79,Role!$A$2:$O$9,11,0)</f>
        <v>0.75</v>
      </c>
      <c r="BB79" s="5" t="n">
        <f aca="false">VLOOKUP($D79,Size!$A$2:$Z$13,19,0)</f>
        <v>10</v>
      </c>
      <c r="BC79" s="5" t="n">
        <f aca="false">VLOOKUP($D79,Size!$A$2:$Z$13,20,0)</f>
        <v>1</v>
      </c>
      <c r="BD79" s="5" t="n">
        <f aca="false">VLOOKUP($E79,Role!$A$2:$O$9,13,0)</f>
        <v>0.75</v>
      </c>
      <c r="BE79" s="5" t="n">
        <f aca="false">VLOOKUP($C79,Type!$A$2:$B$4,2,0)</f>
        <v>1</v>
      </c>
    </row>
    <row r="80" customFormat="false" ht="12.8" hidden="false" customHeight="false" outlineLevel="0" collapsed="false">
      <c r="B80" s="2" t="n">
        <v>3</v>
      </c>
      <c r="C80" s="3" t="s">
        <v>51</v>
      </c>
      <c r="D80" s="1" t="s">
        <v>71</v>
      </c>
      <c r="E80" s="1" t="s">
        <v>66</v>
      </c>
      <c r="F80" s="1" t="s">
        <v>67</v>
      </c>
      <c r="G80" s="1" t="s">
        <v>79</v>
      </c>
      <c r="H80" s="4" t="n">
        <f aca="false">VLOOKUP($D80,Size!$A$2:$F$13,6,0)</f>
        <v>2</v>
      </c>
      <c r="J80" s="12" t="n">
        <f aca="false">INT(($B80*$AY80*$AW80*$AZ80)+($B80*$AX80))</f>
        <v>3</v>
      </c>
      <c r="K80" s="4" t="n">
        <f aca="false">ROUND((($B80*$AT80)+($AV80*$AU80)),0)</f>
        <v>2</v>
      </c>
      <c r="L80" s="4" t="n">
        <f aca="false">ROUND((($B80*$AP80)+($B80*$AQ80))*$AR80,0)</f>
        <v>1</v>
      </c>
      <c r="M80" s="4" t="n">
        <f aca="false">ROUND((($B80*$AM80)+($B80*$AN80))*$AO80,0)</f>
        <v>1</v>
      </c>
      <c r="N80" s="4" t="n">
        <f aca="false">ROUND((($B80*$AG80)+($B80*$AH80))*$AI80,0)</f>
        <v>1</v>
      </c>
      <c r="O80" s="4" t="n">
        <f aca="false">ROUND((($B80*$AJ80)+($B80*$AK80))*$AL80,0)</f>
        <v>2</v>
      </c>
      <c r="Q80" s="4" t="n">
        <f aca="false">INT(VLOOKUP($E80,Role!$A$2:$O$9,8,0)*$B80)</f>
        <v>2</v>
      </c>
      <c r="R80" s="4" t="n">
        <f aca="false">INT(VLOOKUP($E80,Role!$A$2:$O$9,9,0)*$B80)</f>
        <v>2</v>
      </c>
      <c r="S80" s="4" t="n">
        <f aca="false">INT(VLOOKUP($E80,Role!$A$2:$P$9,16,0)*$B80*$AS80)</f>
        <v>0</v>
      </c>
      <c r="T80" s="4" t="n">
        <f aca="false">INT(VLOOKUP($D80,Size!$A$2:$Z$13,18,0)*VLOOKUP($E80,Role!$A$2:$O$9,13,0)*$B80/2)</f>
        <v>18</v>
      </c>
      <c r="U80" s="4" t="n">
        <f aca="false">INT(($BB80*$BE80)+($J80*$BC80))</f>
        <v>18</v>
      </c>
      <c r="V80" s="4" t="n">
        <f aca="false">INT((10+$N80)*VLOOKUP($E80,Role!$A$2:$O$9,14,0))</f>
        <v>11</v>
      </c>
      <c r="W80" s="4" t="n">
        <f aca="false">INT($J80*VLOOKUP($E80,Role!$A$2:$O$9,12,0))</f>
        <v>2</v>
      </c>
      <c r="Y80" s="2" t="n">
        <f aca="false">ROUND(MAX($K80,$M80)+(MIN($K80,$M80)*VLOOKUP($E80,Role!$A$2:$O$9,14,0)),0)</f>
        <v>3</v>
      </c>
      <c r="Z80" s="2" t="n">
        <f aca="false">MAX(1,INT(((MIN($J80:$K80)+(MAX($J80:$K80)*$H80*VLOOKUP($E80,Role!$A$2:$O$9,15,0))))*VLOOKUP($G80,Movement!$A$2:$C$7,3,0)))</f>
        <v>12</v>
      </c>
      <c r="AB80" s="5" t="n">
        <f aca="false">INT(5+(($H80-1)/3))</f>
        <v>5</v>
      </c>
      <c r="AC80" s="5" t="n">
        <f aca="false">IF($AB80&lt;$J80,$J80-MAX($AB80,$B80),0)</f>
        <v>0</v>
      </c>
      <c r="AD80" s="5" t="n">
        <f aca="false">(5-ROUND(($H80-1)/3,0))</f>
        <v>5</v>
      </c>
      <c r="AE80" s="5" t="n">
        <f aca="false">IF($AD80&lt;$K80,$K80-MAX($AD80,$B80),0)</f>
        <v>0</v>
      </c>
      <c r="AG80" s="6" t="n">
        <f aca="false">VLOOKUP($F80,Category!$A$2:$AZ$20,24,0)</f>
        <v>0</v>
      </c>
      <c r="AH80" s="6" t="n">
        <f aca="false">VLOOKUP($F80,Category!$A$2:$AZ$20,26,0)</f>
        <v>0.333333333333333</v>
      </c>
      <c r="AI80" s="6" t="n">
        <f aca="false">VLOOKUP($E80,Role!$A$2:$O$9,10,0)</f>
        <v>0.75</v>
      </c>
      <c r="AJ80" s="6" t="n">
        <f aca="false">VLOOKUP($F80,Category!$A$2:$AZ$20,19,0)</f>
        <v>0.0909090909090909</v>
      </c>
      <c r="AK80" s="6" t="n">
        <f aca="false">VLOOKUP($F80,Category!$A$2:$AZ$20,21,0)</f>
        <v>0.545454545454545</v>
      </c>
      <c r="AL80" s="6" t="n">
        <f aca="false">1</f>
        <v>1</v>
      </c>
      <c r="AM80" s="6" t="n">
        <f aca="false">VLOOKUP($F80,Category!$A$2:$AZ$20,19,0)</f>
        <v>0.0909090909090909</v>
      </c>
      <c r="AN80" s="6" t="n">
        <f aca="false">VLOOKUP($F80,Category!$A$2:$AZ$20,21,0)</f>
        <v>0.545454545454545</v>
      </c>
      <c r="AO80" s="6" t="n">
        <f aca="false">VLOOKUP($E80,Role!$A$2:$O$9,10,0)</f>
        <v>0.75</v>
      </c>
      <c r="AP80" s="6" t="n">
        <f aca="false">VLOOKUP($F80,Category!$A$2:$AZ$20,9,0)</f>
        <v>0</v>
      </c>
      <c r="AQ80" s="6" t="n">
        <f aca="false">VLOOKUP($F80,Category!$A$2:$AZ$20,11,0)</f>
        <v>0.555555555555556</v>
      </c>
      <c r="AR80" s="6" t="n">
        <f aca="false">VLOOKUP($E80,Role!$A$2:$O$9,10,0)</f>
        <v>0.75</v>
      </c>
      <c r="AS80" s="6" t="n">
        <f aca="false">VLOOKUP($F80,Category!$A$2:$AZ$20,10,0)</f>
        <v>0.555555555555556</v>
      </c>
      <c r="AT80" s="7" t="n">
        <f aca="false">VLOOKUP($F80,Category!$A$2:$AZ$20,14,0)</f>
        <v>0.416666666666667</v>
      </c>
      <c r="AU80" s="7" t="n">
        <f aca="false">VLOOKUP($F80,Category!$A$2:$AZ$20,16,0)</f>
        <v>0.25</v>
      </c>
      <c r="AV80" s="7" t="n">
        <f aca="false">VLOOKUP($D80,Size!$A$2:$Z$13,17,0)</f>
        <v>3</v>
      </c>
      <c r="AW80" s="7" t="n">
        <f aca="false">VLOOKUP($F80,Category!$A$2:$AZ$20,29,0)</f>
        <v>0.333333333333333</v>
      </c>
      <c r="AX80" s="7" t="n">
        <f aca="false">VLOOKUP($F80,Category!$A$2:$AZ$20,31,0)</f>
        <v>0.333333333333333</v>
      </c>
      <c r="AY80" s="7" t="n">
        <f aca="false">VLOOKUP($D80,Size!$A$2:$Z$13,16,0)</f>
        <v>3</v>
      </c>
      <c r="AZ80" s="7" t="n">
        <f aca="false">VLOOKUP($E80,Role!$A$2:$O$9,11,0)</f>
        <v>0.75</v>
      </c>
      <c r="BB80" s="5" t="n">
        <f aca="false">VLOOKUP($D80,Size!$A$2:$Z$13,19,0)</f>
        <v>12</v>
      </c>
      <c r="BC80" s="5" t="n">
        <f aca="false">VLOOKUP($D80,Size!$A$2:$Z$13,20,0)</f>
        <v>2</v>
      </c>
      <c r="BD80" s="5" t="n">
        <f aca="false">VLOOKUP($E80,Role!$A$2:$O$9,13,0)</f>
        <v>0.75</v>
      </c>
      <c r="BE80" s="5" t="n">
        <f aca="false">VLOOKUP($C80,Type!$A$2:$B$4,2,0)</f>
        <v>1</v>
      </c>
    </row>
    <row r="81" customFormat="false" ht="12.8" hidden="false" customHeight="false" outlineLevel="0" collapsed="false">
      <c r="B81" s="2" t="n">
        <v>3</v>
      </c>
      <c r="C81" s="3" t="s">
        <v>51</v>
      </c>
      <c r="D81" s="1" t="s">
        <v>72</v>
      </c>
      <c r="E81" s="1" t="s">
        <v>66</v>
      </c>
      <c r="F81" s="1" t="s">
        <v>67</v>
      </c>
      <c r="G81" s="1" t="s">
        <v>79</v>
      </c>
      <c r="H81" s="4" t="n">
        <f aca="false">VLOOKUP($D81,Size!$A$2:$F$13,6,0)</f>
        <v>3</v>
      </c>
      <c r="J81" s="12" t="n">
        <f aca="false">INT(($B81*$AY81*$AW81*$AZ81)+($B81*$AX81))</f>
        <v>4</v>
      </c>
      <c r="K81" s="4" t="n">
        <f aca="false">ROUND((($B81*$AT81)+($AV81*$AU81)),0)</f>
        <v>2</v>
      </c>
      <c r="L81" s="4" t="n">
        <f aca="false">ROUND((($B81*$AP81)+($B81*$AQ81))*$AR81,0)</f>
        <v>1</v>
      </c>
      <c r="M81" s="4" t="n">
        <f aca="false">ROUND((($B81*$AM81)+($B81*$AN81))*$AO81,0)</f>
        <v>1</v>
      </c>
      <c r="N81" s="4" t="n">
        <f aca="false">ROUND((($B81*$AG81)+($B81*$AH81))*$AI81,0)</f>
        <v>1</v>
      </c>
      <c r="O81" s="4" t="n">
        <f aca="false">ROUND((($B81*$AJ81)+($B81*$AK81))*$AL81,0)</f>
        <v>2</v>
      </c>
      <c r="Q81" s="4" t="n">
        <f aca="false">INT(VLOOKUP($E81,Role!$A$2:$O$9,8,0)*$B81)</f>
        <v>2</v>
      </c>
      <c r="R81" s="4" t="n">
        <f aca="false">INT(VLOOKUP($E81,Role!$A$2:$O$9,9,0)*$B81)</f>
        <v>2</v>
      </c>
      <c r="S81" s="4" t="n">
        <f aca="false">INT(VLOOKUP($E81,Role!$A$2:$P$9,16,0)*$B81*$AS81)</f>
        <v>0</v>
      </c>
      <c r="T81" s="4" t="n">
        <f aca="false">INT(VLOOKUP($D81,Size!$A$2:$Z$13,18,0)*VLOOKUP($E81,Role!$A$2:$O$9,13,0)*$B81/2)</f>
        <v>24</v>
      </c>
      <c r="U81" s="4" t="n">
        <f aca="false">INT(($BB81*$BE81)+($J81*$BC81))</f>
        <v>30</v>
      </c>
      <c r="V81" s="4" t="n">
        <f aca="false">INT((10+$N81)*VLOOKUP($E81,Role!$A$2:$O$9,14,0))</f>
        <v>11</v>
      </c>
      <c r="W81" s="4" t="n">
        <f aca="false">INT($J81*VLOOKUP($E81,Role!$A$2:$O$9,12,0))</f>
        <v>2</v>
      </c>
      <c r="Y81" s="2" t="n">
        <f aca="false">ROUND(MAX($K81,$M81)+(MIN($K81,$M81)*VLOOKUP($E81,Role!$A$2:$O$9,14,0)),0)</f>
        <v>3</v>
      </c>
      <c r="Z81" s="2" t="n">
        <f aca="false">MAX(1,INT(((MIN($J81:$K81)+(MAX($J81:$K81)*$H81*VLOOKUP($E81,Role!$A$2:$O$9,15,0))))*VLOOKUP($G81,Movement!$A$2:$C$7,3,0)))</f>
        <v>21</v>
      </c>
      <c r="AB81" s="5" t="n">
        <f aca="false">INT(5+(($H81-1)/3))</f>
        <v>5</v>
      </c>
      <c r="AC81" s="5" t="n">
        <f aca="false">IF($AB81&lt;$J81,$J81-MAX($AB81,$B81),0)</f>
        <v>0</v>
      </c>
      <c r="AD81" s="5" t="n">
        <f aca="false">(5-ROUND(($H81-1)/3,0))</f>
        <v>4</v>
      </c>
      <c r="AE81" s="5" t="n">
        <f aca="false">IF($AD81&lt;$K81,$K81-MAX($AD81,$B81),0)</f>
        <v>0</v>
      </c>
      <c r="AG81" s="6" t="n">
        <f aca="false">VLOOKUP($F81,Category!$A$2:$AZ$20,24,0)</f>
        <v>0</v>
      </c>
      <c r="AH81" s="6" t="n">
        <f aca="false">VLOOKUP($F81,Category!$A$2:$AZ$20,26,0)</f>
        <v>0.333333333333333</v>
      </c>
      <c r="AI81" s="6" t="n">
        <f aca="false">VLOOKUP($E81,Role!$A$2:$O$9,10,0)</f>
        <v>0.75</v>
      </c>
      <c r="AJ81" s="6" t="n">
        <f aca="false">VLOOKUP($F81,Category!$A$2:$AZ$20,19,0)</f>
        <v>0.0909090909090909</v>
      </c>
      <c r="AK81" s="6" t="n">
        <f aca="false">VLOOKUP($F81,Category!$A$2:$AZ$20,21,0)</f>
        <v>0.545454545454545</v>
      </c>
      <c r="AL81" s="6" t="n">
        <f aca="false">1</f>
        <v>1</v>
      </c>
      <c r="AM81" s="6" t="n">
        <f aca="false">VLOOKUP($F81,Category!$A$2:$AZ$20,19,0)</f>
        <v>0.0909090909090909</v>
      </c>
      <c r="AN81" s="6" t="n">
        <f aca="false">VLOOKUP($F81,Category!$A$2:$AZ$20,21,0)</f>
        <v>0.545454545454545</v>
      </c>
      <c r="AO81" s="6" t="n">
        <f aca="false">VLOOKUP($E81,Role!$A$2:$O$9,10,0)</f>
        <v>0.75</v>
      </c>
      <c r="AP81" s="6" t="n">
        <f aca="false">VLOOKUP($F81,Category!$A$2:$AZ$20,9,0)</f>
        <v>0</v>
      </c>
      <c r="AQ81" s="6" t="n">
        <f aca="false">VLOOKUP($F81,Category!$A$2:$AZ$20,11,0)</f>
        <v>0.555555555555556</v>
      </c>
      <c r="AR81" s="6" t="n">
        <f aca="false">VLOOKUP($E81,Role!$A$2:$O$9,10,0)</f>
        <v>0.75</v>
      </c>
      <c r="AS81" s="6" t="n">
        <f aca="false">VLOOKUP($F81,Category!$A$2:$AZ$20,10,0)</f>
        <v>0.555555555555556</v>
      </c>
      <c r="AT81" s="7" t="n">
        <f aca="false">VLOOKUP($F81,Category!$A$2:$AZ$20,14,0)</f>
        <v>0.416666666666667</v>
      </c>
      <c r="AU81" s="7" t="n">
        <f aca="false">VLOOKUP($F81,Category!$A$2:$AZ$20,16,0)</f>
        <v>0.25</v>
      </c>
      <c r="AV81" s="7" t="n">
        <f aca="false">VLOOKUP($D81,Size!$A$2:$Z$13,17,0)</f>
        <v>2</v>
      </c>
      <c r="AW81" s="7" t="n">
        <f aca="false">VLOOKUP($F81,Category!$A$2:$AZ$20,29,0)</f>
        <v>0.333333333333333</v>
      </c>
      <c r="AX81" s="7" t="n">
        <f aca="false">VLOOKUP($F81,Category!$A$2:$AZ$20,31,0)</f>
        <v>0.333333333333333</v>
      </c>
      <c r="AY81" s="7" t="n">
        <f aca="false">VLOOKUP($D81,Size!$A$2:$Z$13,16,0)</f>
        <v>4</v>
      </c>
      <c r="AZ81" s="7" t="n">
        <f aca="false">VLOOKUP($E81,Role!$A$2:$O$9,11,0)</f>
        <v>0.75</v>
      </c>
      <c r="BB81" s="5" t="n">
        <f aca="false">VLOOKUP($D81,Size!$A$2:$Z$13,19,0)</f>
        <v>14</v>
      </c>
      <c r="BC81" s="5" t="n">
        <f aca="false">VLOOKUP($D81,Size!$A$2:$Z$13,20,0)</f>
        <v>4</v>
      </c>
      <c r="BD81" s="5" t="n">
        <f aca="false">VLOOKUP($E81,Role!$A$2:$O$9,13,0)</f>
        <v>0.75</v>
      </c>
      <c r="BE81" s="5" t="n">
        <f aca="false">VLOOKUP($C81,Type!$A$2:$B$4,2,0)</f>
        <v>1</v>
      </c>
    </row>
    <row r="82" customFormat="false" ht="12.8" hidden="false" customHeight="false" outlineLevel="0" collapsed="false">
      <c r="B82" s="2" t="n">
        <v>3</v>
      </c>
      <c r="C82" s="3" t="s">
        <v>51</v>
      </c>
      <c r="D82" s="1" t="s">
        <v>73</v>
      </c>
      <c r="E82" s="1" t="s">
        <v>66</v>
      </c>
      <c r="F82" s="1" t="s">
        <v>67</v>
      </c>
      <c r="G82" s="1" t="s">
        <v>79</v>
      </c>
      <c r="H82" s="4" t="n">
        <f aca="false">VLOOKUP($D82,Size!$A$2:$F$13,6,0)</f>
        <v>4</v>
      </c>
      <c r="J82" s="12" t="n">
        <f aca="false">INT(($B82*$AY82*$AW82*$AZ82)+($B82*$AX82))</f>
        <v>4</v>
      </c>
      <c r="K82" s="4" t="n">
        <f aca="false">ROUND((($B82*$AT82)+($AV82*$AU82)),0)</f>
        <v>2</v>
      </c>
      <c r="L82" s="4" t="n">
        <f aca="false">ROUND((($B82*$AP82)+($B82*$AQ82))*$AR82,0)</f>
        <v>1</v>
      </c>
      <c r="M82" s="4" t="n">
        <f aca="false">ROUND((($B82*$AM82)+($B82*$AN82))*$AO82,0)</f>
        <v>1</v>
      </c>
      <c r="N82" s="4" t="n">
        <f aca="false">ROUND((($B82*$AG82)+($B82*$AH82))*$AI82,0)</f>
        <v>1</v>
      </c>
      <c r="O82" s="4" t="n">
        <f aca="false">ROUND((($B82*$AJ82)+($B82*$AK82))*$AL82,0)</f>
        <v>2</v>
      </c>
      <c r="Q82" s="4" t="n">
        <f aca="false">INT(VLOOKUP($E82,Role!$A$2:$O$9,8,0)*$B82)</f>
        <v>2</v>
      </c>
      <c r="R82" s="4" t="n">
        <f aca="false">INT(VLOOKUP($E82,Role!$A$2:$O$9,9,0)*$B82)</f>
        <v>2</v>
      </c>
      <c r="S82" s="4" t="n">
        <f aca="false">INT(VLOOKUP($E82,Role!$A$2:$P$9,16,0)*$B82*$AS82)</f>
        <v>0</v>
      </c>
      <c r="T82" s="4" t="n">
        <f aca="false">INT(VLOOKUP($D82,Size!$A$2:$Z$13,18,0)*VLOOKUP($E82,Role!$A$2:$O$9,13,0)*$B82/2)</f>
        <v>28</v>
      </c>
      <c r="U82" s="4" t="n">
        <f aca="false">INT(($BB82*$BE82)+($J82*$BC82))</f>
        <v>40</v>
      </c>
      <c r="V82" s="4" t="n">
        <f aca="false">INT((10+$N82)*VLOOKUP($E82,Role!$A$2:$O$9,14,0))</f>
        <v>11</v>
      </c>
      <c r="W82" s="4" t="n">
        <f aca="false">INT($J82*VLOOKUP($E82,Role!$A$2:$O$9,12,0))</f>
        <v>2</v>
      </c>
      <c r="Y82" s="2" t="n">
        <f aca="false">ROUND(MAX($K82,$M82)+(MIN($K82,$M82)*VLOOKUP($E82,Role!$A$2:$O$9,14,0)),0)</f>
        <v>3</v>
      </c>
      <c r="Z82" s="2" t="n">
        <f aca="false">MAX(1,INT(((MIN($J82:$K82)+(MAX($J82:$K82)*$H82*VLOOKUP($E82,Role!$A$2:$O$9,15,0))))*VLOOKUP($G82,Movement!$A$2:$C$7,3,0)))</f>
        <v>27</v>
      </c>
      <c r="AB82" s="5" t="n">
        <f aca="false">INT(5+(($H82-1)/3))</f>
        <v>6</v>
      </c>
      <c r="AC82" s="5" t="n">
        <f aca="false">IF($AB82&lt;$J82,$J82-MAX($AB82,$B82),0)</f>
        <v>0</v>
      </c>
      <c r="AD82" s="5" t="n">
        <f aca="false">(5-ROUND(($H82-1)/3,0))</f>
        <v>4</v>
      </c>
      <c r="AE82" s="5" t="n">
        <f aca="false">IF($AD82&lt;$K82,$K82-MAX($AD82,$B82),0)</f>
        <v>0</v>
      </c>
      <c r="AG82" s="6" t="n">
        <f aca="false">VLOOKUP($F82,Category!$A$2:$AZ$20,24,0)</f>
        <v>0</v>
      </c>
      <c r="AH82" s="6" t="n">
        <f aca="false">VLOOKUP($F82,Category!$A$2:$AZ$20,26,0)</f>
        <v>0.333333333333333</v>
      </c>
      <c r="AI82" s="6" t="n">
        <f aca="false">VLOOKUP($E82,Role!$A$2:$O$9,10,0)</f>
        <v>0.75</v>
      </c>
      <c r="AJ82" s="6" t="n">
        <f aca="false">VLOOKUP($F82,Category!$A$2:$AZ$20,19,0)</f>
        <v>0.0909090909090909</v>
      </c>
      <c r="AK82" s="6" t="n">
        <f aca="false">VLOOKUP($F82,Category!$A$2:$AZ$20,21,0)</f>
        <v>0.545454545454545</v>
      </c>
      <c r="AL82" s="6" t="n">
        <f aca="false">1</f>
        <v>1</v>
      </c>
      <c r="AM82" s="6" t="n">
        <f aca="false">VLOOKUP($F82,Category!$A$2:$AZ$20,19,0)</f>
        <v>0.0909090909090909</v>
      </c>
      <c r="AN82" s="6" t="n">
        <f aca="false">VLOOKUP($F82,Category!$A$2:$AZ$20,21,0)</f>
        <v>0.545454545454545</v>
      </c>
      <c r="AO82" s="6" t="n">
        <f aca="false">VLOOKUP($E82,Role!$A$2:$O$9,10,0)</f>
        <v>0.75</v>
      </c>
      <c r="AP82" s="6" t="n">
        <f aca="false">VLOOKUP($F82,Category!$A$2:$AZ$20,9,0)</f>
        <v>0</v>
      </c>
      <c r="AQ82" s="6" t="n">
        <f aca="false">VLOOKUP($F82,Category!$A$2:$AZ$20,11,0)</f>
        <v>0.555555555555556</v>
      </c>
      <c r="AR82" s="6" t="n">
        <f aca="false">VLOOKUP($E82,Role!$A$2:$O$9,10,0)</f>
        <v>0.75</v>
      </c>
      <c r="AS82" s="6" t="n">
        <f aca="false">VLOOKUP($F82,Category!$A$2:$AZ$20,10,0)</f>
        <v>0.555555555555556</v>
      </c>
      <c r="AT82" s="7" t="n">
        <f aca="false">VLOOKUP($F82,Category!$A$2:$AZ$20,14,0)</f>
        <v>0.416666666666667</v>
      </c>
      <c r="AU82" s="7" t="n">
        <f aca="false">VLOOKUP($F82,Category!$A$2:$AZ$20,16,0)</f>
        <v>0.25</v>
      </c>
      <c r="AV82" s="7" t="n">
        <f aca="false">VLOOKUP($D82,Size!$A$2:$Z$13,17,0)</f>
        <v>2</v>
      </c>
      <c r="AW82" s="7" t="n">
        <f aca="false">VLOOKUP($F82,Category!$A$2:$AZ$20,29,0)</f>
        <v>0.333333333333333</v>
      </c>
      <c r="AX82" s="7" t="n">
        <f aca="false">VLOOKUP($F82,Category!$A$2:$AZ$20,31,0)</f>
        <v>0.333333333333333</v>
      </c>
      <c r="AY82" s="7" t="n">
        <f aca="false">VLOOKUP($D82,Size!$A$2:$Z$13,16,0)</f>
        <v>4</v>
      </c>
      <c r="AZ82" s="7" t="n">
        <f aca="false">VLOOKUP($E82,Role!$A$2:$O$9,11,0)</f>
        <v>0.75</v>
      </c>
      <c r="BB82" s="5" t="n">
        <f aca="false">VLOOKUP($D82,Size!$A$2:$Z$13,19,0)</f>
        <v>16</v>
      </c>
      <c r="BC82" s="5" t="n">
        <f aca="false">VLOOKUP($D82,Size!$A$2:$Z$13,20,0)</f>
        <v>6</v>
      </c>
      <c r="BD82" s="5" t="n">
        <f aca="false">VLOOKUP($E82,Role!$A$2:$O$9,13,0)</f>
        <v>0.75</v>
      </c>
      <c r="BE82" s="5" t="n">
        <f aca="false">VLOOKUP($C82,Type!$A$2:$B$4,2,0)</f>
        <v>1</v>
      </c>
    </row>
    <row r="83" customFormat="false" ht="12.8" hidden="false" customHeight="false" outlineLevel="0" collapsed="false">
      <c r="B83" s="2" t="n">
        <v>3</v>
      </c>
      <c r="C83" s="3" t="s">
        <v>51</v>
      </c>
      <c r="D83" s="1" t="s">
        <v>74</v>
      </c>
      <c r="E83" s="1" t="s">
        <v>66</v>
      </c>
      <c r="F83" s="1" t="s">
        <v>67</v>
      </c>
      <c r="G83" s="1" t="s">
        <v>79</v>
      </c>
      <c r="H83" s="4" t="n">
        <f aca="false">VLOOKUP($D83,Size!$A$2:$F$13,6,0)</f>
        <v>5</v>
      </c>
      <c r="J83" s="12" t="n">
        <f aca="false">INT(($B83*$AY83*$AW83*$AZ83)+($B83*$AX83))</f>
        <v>4</v>
      </c>
      <c r="K83" s="4" t="n">
        <f aca="false">ROUND((($B83*$AT83)+($AV83*$AU83)),0)</f>
        <v>2</v>
      </c>
      <c r="L83" s="4" t="n">
        <f aca="false">ROUND((($B83*$AP83)+($B83*$AQ83))*$AR83,0)</f>
        <v>1</v>
      </c>
      <c r="M83" s="4" t="n">
        <f aca="false">ROUND((($B83*$AM83)+($B83*$AN83))*$AO83,0)</f>
        <v>1</v>
      </c>
      <c r="N83" s="4" t="n">
        <f aca="false">ROUND((($B83*$AG83)+($B83*$AH83))*$AI83,0)</f>
        <v>1</v>
      </c>
      <c r="O83" s="4" t="n">
        <f aca="false">ROUND((($B83*$AJ83)+($B83*$AK83))*$AL83,0)</f>
        <v>2</v>
      </c>
      <c r="Q83" s="4" t="n">
        <f aca="false">INT(VLOOKUP($E83,Role!$A$2:$O$9,8,0)*$B83)</f>
        <v>2</v>
      </c>
      <c r="R83" s="4" t="n">
        <f aca="false">INT(VLOOKUP($E83,Role!$A$2:$O$9,9,0)*$B83)</f>
        <v>2</v>
      </c>
      <c r="S83" s="4" t="n">
        <f aca="false">INT(VLOOKUP($E83,Role!$A$2:$P$9,16,0)*$B83*$AS83)</f>
        <v>0</v>
      </c>
      <c r="T83" s="4" t="n">
        <f aca="false">INT(VLOOKUP($D83,Size!$A$2:$Z$13,18,0)*VLOOKUP($E83,Role!$A$2:$O$9,13,0)*$B83/2)</f>
        <v>35</v>
      </c>
      <c r="U83" s="4" t="n">
        <f aca="false">INT(($BB83*$BE83)+($J83*$BC83))</f>
        <v>50</v>
      </c>
      <c r="V83" s="4" t="n">
        <f aca="false">INT((10+$N83)*VLOOKUP($E83,Role!$A$2:$O$9,14,0))</f>
        <v>11</v>
      </c>
      <c r="W83" s="4" t="n">
        <f aca="false">INT($J83*VLOOKUP($E83,Role!$A$2:$O$9,12,0))</f>
        <v>2</v>
      </c>
      <c r="Y83" s="2" t="n">
        <f aca="false">ROUND(MAX($K83,$M83)+(MIN($K83,$M83)*VLOOKUP($E83,Role!$A$2:$O$9,14,0)),0)</f>
        <v>3</v>
      </c>
      <c r="Z83" s="2" t="n">
        <f aca="false">MAX(1,INT(((MIN($J83:$K83)+(MAX($J83:$K83)*$H83*VLOOKUP($E83,Role!$A$2:$O$9,15,0))))*VLOOKUP($G83,Movement!$A$2:$C$7,3,0)))</f>
        <v>33</v>
      </c>
      <c r="AB83" s="5" t="n">
        <f aca="false">INT(5+(($H83-1)/3))</f>
        <v>6</v>
      </c>
      <c r="AC83" s="5" t="n">
        <f aca="false">IF($AB83&lt;$J83,$J83-MAX($AB83,$B83),0)</f>
        <v>0</v>
      </c>
      <c r="AD83" s="5" t="n">
        <f aca="false">(5-ROUND(($H83-1)/3,0))</f>
        <v>4</v>
      </c>
      <c r="AE83" s="5" t="n">
        <f aca="false">IF($AD83&lt;$K83,$K83-MAX($AD83,$B83),0)</f>
        <v>0</v>
      </c>
      <c r="AG83" s="6" t="n">
        <f aca="false">VLOOKUP($F83,Category!$A$2:$AZ$20,24,0)</f>
        <v>0</v>
      </c>
      <c r="AH83" s="6" t="n">
        <f aca="false">VLOOKUP($F83,Category!$A$2:$AZ$20,26,0)</f>
        <v>0.333333333333333</v>
      </c>
      <c r="AI83" s="6" t="n">
        <f aca="false">VLOOKUP($E83,Role!$A$2:$O$9,10,0)</f>
        <v>0.75</v>
      </c>
      <c r="AJ83" s="6" t="n">
        <f aca="false">VLOOKUP($F83,Category!$A$2:$AZ$20,19,0)</f>
        <v>0.0909090909090909</v>
      </c>
      <c r="AK83" s="6" t="n">
        <f aca="false">VLOOKUP($F83,Category!$A$2:$AZ$20,21,0)</f>
        <v>0.545454545454545</v>
      </c>
      <c r="AL83" s="6" t="n">
        <f aca="false">1</f>
        <v>1</v>
      </c>
      <c r="AM83" s="6" t="n">
        <f aca="false">VLOOKUP($F83,Category!$A$2:$AZ$20,19,0)</f>
        <v>0.0909090909090909</v>
      </c>
      <c r="AN83" s="6" t="n">
        <f aca="false">VLOOKUP($F83,Category!$A$2:$AZ$20,21,0)</f>
        <v>0.545454545454545</v>
      </c>
      <c r="AO83" s="6" t="n">
        <f aca="false">VLOOKUP($E83,Role!$A$2:$O$9,10,0)</f>
        <v>0.75</v>
      </c>
      <c r="AP83" s="6" t="n">
        <f aca="false">VLOOKUP($F83,Category!$A$2:$AZ$20,9,0)</f>
        <v>0</v>
      </c>
      <c r="AQ83" s="6" t="n">
        <f aca="false">VLOOKUP($F83,Category!$A$2:$AZ$20,11,0)</f>
        <v>0.555555555555556</v>
      </c>
      <c r="AR83" s="6" t="n">
        <f aca="false">VLOOKUP($E83,Role!$A$2:$O$9,10,0)</f>
        <v>0.75</v>
      </c>
      <c r="AS83" s="6" t="n">
        <f aca="false">VLOOKUP($F83,Category!$A$2:$AZ$20,10,0)</f>
        <v>0.555555555555556</v>
      </c>
      <c r="AT83" s="7" t="n">
        <f aca="false">VLOOKUP($F83,Category!$A$2:$AZ$20,14,0)</f>
        <v>0.416666666666667</v>
      </c>
      <c r="AU83" s="7" t="n">
        <f aca="false">VLOOKUP($F83,Category!$A$2:$AZ$20,16,0)</f>
        <v>0.25</v>
      </c>
      <c r="AV83" s="7" t="n">
        <f aca="false">VLOOKUP($D83,Size!$A$2:$Z$13,17,0)</f>
        <v>2</v>
      </c>
      <c r="AW83" s="7" t="n">
        <f aca="false">VLOOKUP($F83,Category!$A$2:$AZ$20,29,0)</f>
        <v>0.333333333333333</v>
      </c>
      <c r="AX83" s="7" t="n">
        <f aca="false">VLOOKUP($F83,Category!$A$2:$AZ$20,31,0)</f>
        <v>0.333333333333333</v>
      </c>
      <c r="AY83" s="7" t="n">
        <f aca="false">VLOOKUP($D83,Size!$A$2:$Z$13,16,0)</f>
        <v>5</v>
      </c>
      <c r="AZ83" s="7" t="n">
        <f aca="false">VLOOKUP($E83,Role!$A$2:$O$9,11,0)</f>
        <v>0.75</v>
      </c>
      <c r="BB83" s="5" t="n">
        <f aca="false">VLOOKUP($D83,Size!$A$2:$Z$13,19,0)</f>
        <v>18</v>
      </c>
      <c r="BC83" s="5" t="n">
        <f aca="false">VLOOKUP($D83,Size!$A$2:$Z$13,20,0)</f>
        <v>8</v>
      </c>
      <c r="BD83" s="5" t="n">
        <f aca="false">VLOOKUP($E83,Role!$A$2:$O$9,13,0)</f>
        <v>0.75</v>
      </c>
      <c r="BE83" s="5" t="n">
        <f aca="false">VLOOKUP($C83,Type!$A$2:$B$4,2,0)</f>
        <v>1</v>
      </c>
    </row>
    <row r="84" customFormat="false" ht="12.8" hidden="false" customHeight="false" outlineLevel="0" collapsed="false">
      <c r="B84" s="2" t="n">
        <v>3</v>
      </c>
      <c r="C84" s="3" t="s">
        <v>51</v>
      </c>
      <c r="D84" s="1" t="s">
        <v>75</v>
      </c>
      <c r="E84" s="1" t="s">
        <v>66</v>
      </c>
      <c r="F84" s="1" t="s">
        <v>67</v>
      </c>
      <c r="G84" s="1" t="s">
        <v>79</v>
      </c>
      <c r="H84" s="4" t="n">
        <f aca="false">VLOOKUP($D84,Size!$A$2:$F$13,6,0)</f>
        <v>6</v>
      </c>
      <c r="J84" s="12" t="n">
        <f aca="false">INT(($B84*$AY84*$AW84*$AZ84)+($B84*$AX84))</f>
        <v>4</v>
      </c>
      <c r="K84" s="4" t="n">
        <f aca="false">ROUND((($B84*$AT84)+($AV84*$AU84)),0)</f>
        <v>2</v>
      </c>
      <c r="L84" s="4" t="n">
        <f aca="false">ROUND((($B84*$AP84)+($B84*$AQ84))*$AR84,0)</f>
        <v>1</v>
      </c>
      <c r="M84" s="4" t="n">
        <f aca="false">ROUND((($B84*$AM84)+($B84*$AN84))*$AO84,0)</f>
        <v>1</v>
      </c>
      <c r="N84" s="4" t="n">
        <f aca="false">ROUND((($B84*$AG84)+($B84*$AH84))*$AI84,0)</f>
        <v>1</v>
      </c>
      <c r="O84" s="4" t="n">
        <f aca="false">ROUND((($B84*$AJ84)+($B84*$AK84))*$AL84,0)</f>
        <v>2</v>
      </c>
      <c r="Q84" s="4" t="n">
        <f aca="false">INT(VLOOKUP($E84,Role!$A$2:$O$9,8,0)*$B84)</f>
        <v>2</v>
      </c>
      <c r="R84" s="4" t="n">
        <f aca="false">INT(VLOOKUP($E84,Role!$A$2:$O$9,9,0)*$B84)</f>
        <v>2</v>
      </c>
      <c r="S84" s="4" t="n">
        <f aca="false">INT(VLOOKUP($E84,Role!$A$2:$P$9,16,0)*$B84*$AS84)</f>
        <v>0</v>
      </c>
      <c r="T84" s="4" t="n">
        <f aca="false">INT(VLOOKUP($D84,Size!$A$2:$Z$13,18,0)*VLOOKUP($E84,Role!$A$2:$O$9,13,0)*$B84/2)</f>
        <v>43</v>
      </c>
      <c r="U84" s="4" t="n">
        <f aca="false">INT(($BB84*$BE84)+($J84*$BC84))</f>
        <v>60</v>
      </c>
      <c r="V84" s="4" t="n">
        <f aca="false">INT((10+$N84)*VLOOKUP($E84,Role!$A$2:$O$9,14,0))</f>
        <v>11</v>
      </c>
      <c r="W84" s="4" t="n">
        <f aca="false">INT($J84*VLOOKUP($E84,Role!$A$2:$O$9,12,0))</f>
        <v>2</v>
      </c>
      <c r="Y84" s="2" t="n">
        <f aca="false">ROUND(MAX($K84,$M84)+(MIN($K84,$M84)*VLOOKUP($E84,Role!$A$2:$O$9,14,0)),0)</f>
        <v>3</v>
      </c>
      <c r="Z84" s="2" t="n">
        <f aca="false">MAX(1,INT(((MIN($J84:$K84)+(MAX($J84:$K84)*$H84*VLOOKUP($E84,Role!$A$2:$O$9,15,0))))*VLOOKUP($G84,Movement!$A$2:$C$7,3,0)))</f>
        <v>39</v>
      </c>
      <c r="AB84" s="5" t="n">
        <f aca="false">INT(5+(($H84-1)/3))</f>
        <v>6</v>
      </c>
      <c r="AC84" s="5" t="n">
        <f aca="false">IF($AB84&lt;$J84,$J84-MAX($AB84,$B84),0)</f>
        <v>0</v>
      </c>
      <c r="AD84" s="5" t="n">
        <f aca="false">(5-ROUND(($H84-1)/3,0))</f>
        <v>3</v>
      </c>
      <c r="AE84" s="5" t="n">
        <f aca="false">IF($AD84&lt;$K84,$K84-MAX($AD84,$B84),0)</f>
        <v>0</v>
      </c>
      <c r="AG84" s="6" t="n">
        <f aca="false">VLOOKUP($F84,Category!$A$2:$AZ$20,24,0)</f>
        <v>0</v>
      </c>
      <c r="AH84" s="6" t="n">
        <f aca="false">VLOOKUP($F84,Category!$A$2:$AZ$20,26,0)</f>
        <v>0.333333333333333</v>
      </c>
      <c r="AI84" s="6" t="n">
        <f aca="false">VLOOKUP($E84,Role!$A$2:$O$9,10,0)</f>
        <v>0.75</v>
      </c>
      <c r="AJ84" s="6" t="n">
        <f aca="false">VLOOKUP($F84,Category!$A$2:$AZ$20,19,0)</f>
        <v>0.0909090909090909</v>
      </c>
      <c r="AK84" s="6" t="n">
        <f aca="false">VLOOKUP($F84,Category!$A$2:$AZ$20,21,0)</f>
        <v>0.545454545454545</v>
      </c>
      <c r="AL84" s="6" t="n">
        <f aca="false">1</f>
        <v>1</v>
      </c>
      <c r="AM84" s="6" t="n">
        <f aca="false">VLOOKUP($F84,Category!$A$2:$AZ$20,19,0)</f>
        <v>0.0909090909090909</v>
      </c>
      <c r="AN84" s="6" t="n">
        <f aca="false">VLOOKUP($F84,Category!$A$2:$AZ$20,21,0)</f>
        <v>0.545454545454545</v>
      </c>
      <c r="AO84" s="6" t="n">
        <f aca="false">VLOOKUP($E84,Role!$A$2:$O$9,10,0)</f>
        <v>0.75</v>
      </c>
      <c r="AP84" s="6" t="n">
        <f aca="false">VLOOKUP($F84,Category!$A$2:$AZ$20,9,0)</f>
        <v>0</v>
      </c>
      <c r="AQ84" s="6" t="n">
        <f aca="false">VLOOKUP($F84,Category!$A$2:$AZ$20,11,0)</f>
        <v>0.555555555555556</v>
      </c>
      <c r="AR84" s="6" t="n">
        <f aca="false">VLOOKUP($E84,Role!$A$2:$O$9,10,0)</f>
        <v>0.75</v>
      </c>
      <c r="AS84" s="6" t="n">
        <f aca="false">VLOOKUP($F84,Category!$A$2:$AZ$20,10,0)</f>
        <v>0.555555555555556</v>
      </c>
      <c r="AT84" s="7" t="n">
        <f aca="false">VLOOKUP($F84,Category!$A$2:$AZ$20,14,0)</f>
        <v>0.416666666666667</v>
      </c>
      <c r="AU84" s="7" t="n">
        <f aca="false">VLOOKUP($F84,Category!$A$2:$AZ$20,16,0)</f>
        <v>0.25</v>
      </c>
      <c r="AV84" s="7" t="n">
        <f aca="false">VLOOKUP($D84,Size!$A$2:$Z$13,17,0)</f>
        <v>2</v>
      </c>
      <c r="AW84" s="7" t="n">
        <f aca="false">VLOOKUP($F84,Category!$A$2:$AZ$20,29,0)</f>
        <v>0.333333333333333</v>
      </c>
      <c r="AX84" s="7" t="n">
        <f aca="false">VLOOKUP($F84,Category!$A$2:$AZ$20,31,0)</f>
        <v>0.333333333333333</v>
      </c>
      <c r="AY84" s="7" t="n">
        <f aca="false">VLOOKUP($D84,Size!$A$2:$Z$13,16,0)</f>
        <v>5</v>
      </c>
      <c r="AZ84" s="7" t="n">
        <f aca="false">VLOOKUP($E84,Role!$A$2:$O$9,11,0)</f>
        <v>0.75</v>
      </c>
      <c r="BB84" s="5" t="n">
        <f aca="false">VLOOKUP($D84,Size!$A$2:$Z$13,19,0)</f>
        <v>20</v>
      </c>
      <c r="BC84" s="5" t="n">
        <f aca="false">VLOOKUP($D84,Size!$A$2:$Z$13,20,0)</f>
        <v>10</v>
      </c>
      <c r="BD84" s="5" t="n">
        <f aca="false">VLOOKUP($E84,Role!$A$2:$O$9,13,0)</f>
        <v>0.75</v>
      </c>
      <c r="BE84" s="5" t="n">
        <f aca="false">VLOOKUP($C84,Type!$A$2:$B$4,2,0)</f>
        <v>1</v>
      </c>
    </row>
    <row r="85" customFormat="false" ht="12.8" hidden="false" customHeight="false" outlineLevel="0" collapsed="false">
      <c r="B85" s="2" t="n">
        <v>3</v>
      </c>
      <c r="C85" s="3" t="s">
        <v>51</v>
      </c>
      <c r="D85" s="1" t="s">
        <v>76</v>
      </c>
      <c r="E85" s="1" t="s">
        <v>66</v>
      </c>
      <c r="F85" s="1" t="s">
        <v>67</v>
      </c>
      <c r="G85" s="1" t="s">
        <v>79</v>
      </c>
      <c r="H85" s="4" t="n">
        <f aca="false">VLOOKUP($D85,Size!$A$2:$F$13,6,0)</f>
        <v>7</v>
      </c>
      <c r="J85" s="12" t="n">
        <f aca="false">INT(($B85*$AY85*$AW85*$AZ85)+($B85*$AX85))</f>
        <v>4</v>
      </c>
      <c r="K85" s="4" t="n">
        <f aca="false">ROUND((($B85*$AT85)+($AV85*$AU85)),0)</f>
        <v>2</v>
      </c>
      <c r="L85" s="4" t="n">
        <f aca="false">ROUND((($B85*$AP85)+($B85*$AQ85))*$AR85,0)</f>
        <v>1</v>
      </c>
      <c r="M85" s="4" t="n">
        <f aca="false">ROUND((($B85*$AM85)+($B85*$AN85))*$AO85,0)</f>
        <v>1</v>
      </c>
      <c r="N85" s="4" t="n">
        <f aca="false">ROUND((($B85*$AG85)+($B85*$AH85))*$AI85,0)</f>
        <v>1</v>
      </c>
      <c r="O85" s="4" t="n">
        <f aca="false">ROUND((($B85*$AJ85)+($B85*$AK85))*$AL85,0)</f>
        <v>2</v>
      </c>
      <c r="Q85" s="4" t="n">
        <f aca="false">INT(VLOOKUP($E85,Role!$A$2:$O$9,8,0)*$B85)</f>
        <v>2</v>
      </c>
      <c r="R85" s="4" t="n">
        <f aca="false">INT(VLOOKUP($E85,Role!$A$2:$O$9,9,0)*$B85)</f>
        <v>2</v>
      </c>
      <c r="S85" s="4" t="n">
        <f aca="false">INT(VLOOKUP($E85,Role!$A$2:$P$9,16,0)*$B85*$AS85)</f>
        <v>0</v>
      </c>
      <c r="T85" s="4" t="n">
        <f aca="false">INT(VLOOKUP($D85,Size!$A$2:$Z$13,18,0)*VLOOKUP($E85,Role!$A$2:$O$9,13,0)*$B85/2)</f>
        <v>52</v>
      </c>
      <c r="U85" s="4" t="n">
        <f aca="false">INT(($BB85*$BE85)+($J85*$BC85))</f>
        <v>70</v>
      </c>
      <c r="V85" s="4" t="n">
        <f aca="false">INT((10+$N85)*VLOOKUP($E85,Role!$A$2:$O$9,14,0))</f>
        <v>11</v>
      </c>
      <c r="W85" s="4" t="n">
        <f aca="false">INT($J85*VLOOKUP($E85,Role!$A$2:$O$9,12,0))</f>
        <v>2</v>
      </c>
      <c r="Y85" s="2" t="n">
        <f aca="false">ROUND(MAX($K85,$M85)+(MIN($K85,$M85)*VLOOKUP($E85,Role!$A$2:$O$9,14,0)),0)</f>
        <v>3</v>
      </c>
      <c r="Z85" s="2" t="n">
        <f aca="false">MAX(1,INT(((MIN($J85:$K85)+(MAX($J85:$K85)*$H85*VLOOKUP($E85,Role!$A$2:$O$9,15,0))))*VLOOKUP($G85,Movement!$A$2:$C$7,3,0)))</f>
        <v>45</v>
      </c>
      <c r="AB85" s="5" t="n">
        <f aca="false">INT(5+(($H85-1)/3))</f>
        <v>7</v>
      </c>
      <c r="AC85" s="5" t="n">
        <f aca="false">IF($AB85&lt;$J85,$J85-MAX($AB85,$B85),0)</f>
        <v>0</v>
      </c>
      <c r="AD85" s="5" t="n">
        <f aca="false">(5-ROUND(($H85-1)/3,0))</f>
        <v>3</v>
      </c>
      <c r="AE85" s="5" t="n">
        <f aca="false">IF($AD85&lt;$K85,$K85-MAX($AD85,$B85),0)</f>
        <v>0</v>
      </c>
      <c r="AG85" s="6" t="n">
        <f aca="false">VLOOKUP($F85,Category!$A$2:$AZ$20,24,0)</f>
        <v>0</v>
      </c>
      <c r="AH85" s="6" t="n">
        <f aca="false">VLOOKUP($F85,Category!$A$2:$AZ$20,26,0)</f>
        <v>0.333333333333333</v>
      </c>
      <c r="AI85" s="6" t="n">
        <f aca="false">VLOOKUP($E85,Role!$A$2:$O$9,10,0)</f>
        <v>0.75</v>
      </c>
      <c r="AJ85" s="6" t="n">
        <f aca="false">VLOOKUP($F85,Category!$A$2:$AZ$20,19,0)</f>
        <v>0.0909090909090909</v>
      </c>
      <c r="AK85" s="6" t="n">
        <f aca="false">VLOOKUP($F85,Category!$A$2:$AZ$20,21,0)</f>
        <v>0.545454545454545</v>
      </c>
      <c r="AL85" s="6" t="n">
        <f aca="false">1</f>
        <v>1</v>
      </c>
      <c r="AM85" s="6" t="n">
        <f aca="false">VLOOKUP($F85,Category!$A$2:$AZ$20,19,0)</f>
        <v>0.0909090909090909</v>
      </c>
      <c r="AN85" s="6" t="n">
        <f aca="false">VLOOKUP($F85,Category!$A$2:$AZ$20,21,0)</f>
        <v>0.545454545454545</v>
      </c>
      <c r="AO85" s="6" t="n">
        <f aca="false">VLOOKUP($E85,Role!$A$2:$O$9,10,0)</f>
        <v>0.75</v>
      </c>
      <c r="AP85" s="6" t="n">
        <f aca="false">VLOOKUP($F85,Category!$A$2:$AZ$20,9,0)</f>
        <v>0</v>
      </c>
      <c r="AQ85" s="6" t="n">
        <f aca="false">VLOOKUP($F85,Category!$A$2:$AZ$20,11,0)</f>
        <v>0.555555555555556</v>
      </c>
      <c r="AR85" s="6" t="n">
        <f aca="false">VLOOKUP($E85,Role!$A$2:$O$9,10,0)</f>
        <v>0.75</v>
      </c>
      <c r="AS85" s="6" t="n">
        <f aca="false">VLOOKUP($F85,Category!$A$2:$AZ$20,10,0)</f>
        <v>0.555555555555556</v>
      </c>
      <c r="AT85" s="7" t="n">
        <f aca="false">VLOOKUP($F85,Category!$A$2:$AZ$20,14,0)</f>
        <v>0.416666666666667</v>
      </c>
      <c r="AU85" s="7" t="n">
        <f aca="false">VLOOKUP($F85,Category!$A$2:$AZ$20,16,0)</f>
        <v>0.25</v>
      </c>
      <c r="AV85" s="7" t="n">
        <f aca="false">VLOOKUP($D85,Size!$A$2:$Z$13,17,0)</f>
        <v>2</v>
      </c>
      <c r="AW85" s="7" t="n">
        <f aca="false">VLOOKUP($F85,Category!$A$2:$AZ$20,29,0)</f>
        <v>0.333333333333333</v>
      </c>
      <c r="AX85" s="7" t="n">
        <f aca="false">VLOOKUP($F85,Category!$A$2:$AZ$20,31,0)</f>
        <v>0.333333333333333</v>
      </c>
      <c r="AY85" s="7" t="n">
        <f aca="false">VLOOKUP($D85,Size!$A$2:$Z$13,16,0)</f>
        <v>5</v>
      </c>
      <c r="AZ85" s="7" t="n">
        <f aca="false">VLOOKUP($E85,Role!$A$2:$O$9,11,0)</f>
        <v>0.75</v>
      </c>
      <c r="BB85" s="5" t="n">
        <f aca="false">VLOOKUP($D85,Size!$A$2:$Z$13,19,0)</f>
        <v>22</v>
      </c>
      <c r="BC85" s="5" t="n">
        <f aca="false">VLOOKUP($D85,Size!$A$2:$Z$13,20,0)</f>
        <v>12</v>
      </c>
      <c r="BD85" s="5" t="n">
        <f aca="false">VLOOKUP($E85,Role!$A$2:$O$9,13,0)</f>
        <v>0.75</v>
      </c>
      <c r="BE85" s="5" t="n">
        <f aca="false">VLOOKUP($C85,Type!$A$2:$B$4,2,0)</f>
        <v>1</v>
      </c>
    </row>
    <row r="86" customFormat="false" ht="12.8" hidden="false" customHeight="false" outlineLevel="0" collapsed="false">
      <c r="C86" s="3" t="s">
        <v>51</v>
      </c>
      <c r="J86" s="12" t="e">
        <f aca="false">INT(($B86*$AY86*$AW86*$AZ86)+($B86*$AX86))</f>
        <v>#N/A</v>
      </c>
      <c r="K86" s="4" t="e">
        <f aca="false">ROUND((($B86*$AT86)+($AV86*$AU86)),0)</f>
        <v>#N/A</v>
      </c>
      <c r="L86" s="4" t="e">
        <f aca="false">ROUND((($B86*$AP86)+($B86*$AQ86))*$AR86,0)</f>
        <v>#N/A</v>
      </c>
      <c r="M86" s="4" t="e">
        <f aca="false">ROUND((($B86*$AM86)+($B86*$AN86))*$AO86,0)</f>
        <v>#N/A</v>
      </c>
      <c r="N86" s="4" t="e">
        <f aca="false">ROUND((($B86*$AG86)+($B86*$AH86))*$AI86,0)</f>
        <v>#N/A</v>
      </c>
      <c r="O86" s="4" t="e">
        <f aca="false">ROUND((($B86*$AJ86)+($B86*$AK86))*$AL86,0)</f>
        <v>#N/A</v>
      </c>
      <c r="S86" s="4" t="e">
        <f aca="false">INT(VLOOKUP($E86,Role!$A$2:$P$9,16,0)*$B86*$AS86)</f>
        <v>#N/A</v>
      </c>
      <c r="U86" s="4" t="e">
        <f aca="false">INT(($BB86*$BE86)+($J86*$BC86))</f>
        <v>#N/A</v>
      </c>
      <c r="AC86" s="5" t="e">
        <f aca="false">IF($AB86&lt;$J86,$J86-MAX($AB86,$B86),0)</f>
        <v>#N/A</v>
      </c>
      <c r="AE86" s="5" t="e">
        <f aca="false">IF($AD86&lt;$K86,$K86-MAX($AD86,$B86),0)</f>
        <v>#N/A</v>
      </c>
      <c r="AG86" s="6" t="e">
        <f aca="false">VLOOKUP($F86,Category!$A$2:$AZ$20,24,0)</f>
        <v>#N/A</v>
      </c>
      <c r="AH86" s="6" t="e">
        <f aca="false">VLOOKUP($F86,Category!$A$2:$AZ$20,26,0)</f>
        <v>#N/A</v>
      </c>
      <c r="AI86" s="6" t="e">
        <f aca="false">VLOOKUP($E86,Role!$A$2:$O$9,10,0)</f>
        <v>#N/A</v>
      </c>
      <c r="AJ86" s="6" t="e">
        <f aca="false">VLOOKUP($F86,Category!$A$2:$AZ$20,19,0)</f>
        <v>#N/A</v>
      </c>
      <c r="AK86" s="6" t="e">
        <f aca="false">VLOOKUP($F86,Category!$A$2:$AZ$20,21,0)</f>
        <v>#N/A</v>
      </c>
      <c r="AL86" s="6" t="n">
        <f aca="false">1</f>
        <v>1</v>
      </c>
      <c r="AM86" s="6" t="e">
        <f aca="false">VLOOKUP($F86,Category!$A$2:$AZ$20,19,0)</f>
        <v>#N/A</v>
      </c>
      <c r="AN86" s="6" t="e">
        <f aca="false">VLOOKUP($F86,Category!$A$2:$AZ$20,21,0)</f>
        <v>#N/A</v>
      </c>
      <c r="AO86" s="6" t="e">
        <f aca="false">VLOOKUP($E86,Role!$A$2:$O$9,10,0)</f>
        <v>#N/A</v>
      </c>
      <c r="AP86" s="6" t="e">
        <f aca="false">VLOOKUP($F86,Category!$A$2:$AZ$20,9,0)</f>
        <v>#N/A</v>
      </c>
      <c r="AQ86" s="6" t="e">
        <f aca="false">VLOOKUP($F86,Category!$A$2:$AZ$20,11,0)</f>
        <v>#N/A</v>
      </c>
      <c r="AR86" s="6" t="e">
        <f aca="false">VLOOKUP($E86,Role!$A$2:$O$9,10,0)</f>
        <v>#N/A</v>
      </c>
      <c r="AS86" s="6" t="e">
        <f aca="false">VLOOKUP($F86,Category!$A$2:$AZ$20,10,0)</f>
        <v>#N/A</v>
      </c>
      <c r="AT86" s="7" t="e">
        <f aca="false">VLOOKUP($F86,Category!$A$2:$AZ$20,14,0)</f>
        <v>#N/A</v>
      </c>
      <c r="AU86" s="7" t="e">
        <f aca="false">VLOOKUP($F86,Category!$A$2:$AZ$20,16,0)</f>
        <v>#N/A</v>
      </c>
      <c r="AV86" s="7" t="e">
        <f aca="false">VLOOKUP($D86,Size!$A$2:$Z$13,17,0)</f>
        <v>#N/A</v>
      </c>
      <c r="AW86" s="7" t="e">
        <f aca="false">VLOOKUP($F86,Category!$A$2:$AZ$20,29,0)</f>
        <v>#N/A</v>
      </c>
      <c r="AX86" s="7" t="e">
        <f aca="false">VLOOKUP($F86,Category!$A$2:$AZ$20,31,0)</f>
        <v>#N/A</v>
      </c>
      <c r="AY86" s="7" t="e">
        <f aca="false">VLOOKUP($D86,Size!$A$2:$Z$13,16,0)</f>
        <v>#N/A</v>
      </c>
      <c r="AZ86" s="7" t="e">
        <f aca="false">VLOOKUP($E86,Role!$A$2:$O$9,11,0)</f>
        <v>#N/A</v>
      </c>
      <c r="BB86" s="5" t="e">
        <f aca="false">VLOOKUP($D86,Size!$A$2:$Z$13,19,0)</f>
        <v>#N/A</v>
      </c>
      <c r="BC86" s="5" t="e">
        <f aca="false">VLOOKUP($D86,Size!$A$2:$Z$13,20,0)</f>
        <v>#N/A</v>
      </c>
      <c r="BD86" s="5" t="e">
        <f aca="false">VLOOKUP($E86,Role!$A$2:$O$9,13,0)</f>
        <v>#N/A</v>
      </c>
      <c r="BE86" s="5" t="n">
        <f aca="false">VLOOKUP($C86,Type!$A$2:$B$4,2,0)</f>
        <v>1</v>
      </c>
    </row>
    <row r="87" customFormat="false" ht="12.8" hidden="false" customHeight="false" outlineLevel="0" collapsed="false">
      <c r="B87" s="2" t="n">
        <v>4</v>
      </c>
      <c r="C87" s="3" t="s">
        <v>51</v>
      </c>
      <c r="D87" s="1" t="s">
        <v>65</v>
      </c>
      <c r="E87" s="1" t="s">
        <v>66</v>
      </c>
      <c r="F87" s="1" t="s">
        <v>67</v>
      </c>
      <c r="G87" s="1" t="s">
        <v>79</v>
      </c>
      <c r="H87" s="4" t="n">
        <f aca="false">VLOOKUP($D87,Size!$A$2:$F$13,6,0)</f>
        <v>-3</v>
      </c>
      <c r="J87" s="12" t="n">
        <f aca="false">INT(($B87*$AY87*$AW87*$AZ87)+($B87*$AX87))</f>
        <v>2</v>
      </c>
      <c r="K87" s="4" t="n">
        <f aca="false">ROUND((($B87*$AT87)+($AV87*$AU87)),0)</f>
        <v>3</v>
      </c>
      <c r="L87" s="4" t="n">
        <f aca="false">ROUND((($B87*$AP87)+($B87*$AQ87))*$AR87,0)</f>
        <v>2</v>
      </c>
      <c r="M87" s="4" t="n">
        <f aca="false">ROUND((($B87*$AM87)+($B87*$AN87))*$AO87,0)</f>
        <v>2</v>
      </c>
      <c r="N87" s="4" t="n">
        <f aca="false">ROUND((($B87*$AG87)+($B87*$AH87))*$AI87,0)</f>
        <v>1</v>
      </c>
      <c r="O87" s="4" t="n">
        <f aca="false">ROUND((($B87*$AJ87)+($B87*$AK87))*$AL87,0)</f>
        <v>3</v>
      </c>
      <c r="Q87" s="4" t="n">
        <f aca="false">INT(VLOOKUP($E87,Role!$A$2:$O$9,8,0)*$B87)</f>
        <v>3</v>
      </c>
      <c r="R87" s="4" t="n">
        <f aca="false">INT(VLOOKUP($E87,Role!$A$2:$O$9,9,0)*$B87)</f>
        <v>3</v>
      </c>
      <c r="S87" s="4" t="n">
        <f aca="false">INT(VLOOKUP($E87,Role!$A$2:$P$9,16,0)*$B87*$AS87)</f>
        <v>1</v>
      </c>
      <c r="T87" s="4" t="n">
        <f aca="false">INT(VLOOKUP($D87,Size!$A$2:$Z$13,18,0)*VLOOKUP($E87,Role!$A$2:$O$9,13,0)*$B87/2)</f>
        <v>4</v>
      </c>
      <c r="U87" s="4" t="n">
        <f aca="false">INT(($BB87*$BE87)+($J87*$BC87))</f>
        <v>6</v>
      </c>
      <c r="V87" s="4" t="n">
        <f aca="false">INT((10+$N87)*VLOOKUP($E87,Role!$A$2:$O$9,14,0))</f>
        <v>11</v>
      </c>
      <c r="W87" s="4" t="n">
        <f aca="false">INT($J87*VLOOKUP($E87,Role!$A$2:$O$9,12,0))</f>
        <v>1</v>
      </c>
      <c r="Y87" s="2" t="n">
        <f aca="false">ROUND(MAX($K87,$M87)+(MIN($K87,$M87)*VLOOKUP($E87,Role!$A$2:$O$9,14,0)),0)</f>
        <v>5</v>
      </c>
      <c r="Z87" s="2" t="n">
        <f aca="false">MAX(1,INT(((MIN($J87:$K87)+(MAX($J87:$K87)*$H87*VLOOKUP($E87,Role!$A$2:$O$9,15,0))))*VLOOKUP($G87,Movement!$A$2:$C$7,3,0)))</f>
        <v>1</v>
      </c>
      <c r="AB87" s="5" t="n">
        <f aca="false">INT(5+(($H87-1)/3))</f>
        <v>3</v>
      </c>
      <c r="AC87" s="5" t="n">
        <f aca="false">IF($AB87&lt;$J87,$J87-MAX($AB87,$B87),0)</f>
        <v>0</v>
      </c>
      <c r="AD87" s="5" t="n">
        <f aca="false">(5-ROUND(($H87-1)/3,0))</f>
        <v>6</v>
      </c>
      <c r="AE87" s="5" t="n">
        <f aca="false">IF($AD87&lt;$K87,$K87-MAX($AD87,$B87),0)</f>
        <v>0</v>
      </c>
      <c r="AG87" s="6" t="n">
        <f aca="false">VLOOKUP($F87,Category!$A$2:$AZ$20,24,0)</f>
        <v>0</v>
      </c>
      <c r="AH87" s="6" t="n">
        <f aca="false">VLOOKUP($F87,Category!$A$2:$AZ$20,26,0)</f>
        <v>0.333333333333333</v>
      </c>
      <c r="AI87" s="6" t="n">
        <f aca="false">VLOOKUP($E87,Role!$A$2:$O$9,10,0)</f>
        <v>0.75</v>
      </c>
      <c r="AJ87" s="6" t="n">
        <f aca="false">VLOOKUP($F87,Category!$A$2:$AZ$20,19,0)</f>
        <v>0.0909090909090909</v>
      </c>
      <c r="AK87" s="6" t="n">
        <f aca="false">VLOOKUP($F87,Category!$A$2:$AZ$20,21,0)</f>
        <v>0.545454545454545</v>
      </c>
      <c r="AL87" s="6" t="n">
        <f aca="false">1</f>
        <v>1</v>
      </c>
      <c r="AM87" s="6" t="n">
        <f aca="false">VLOOKUP($F87,Category!$A$2:$AZ$20,19,0)</f>
        <v>0.0909090909090909</v>
      </c>
      <c r="AN87" s="6" t="n">
        <f aca="false">VLOOKUP($F87,Category!$A$2:$AZ$20,21,0)</f>
        <v>0.545454545454545</v>
      </c>
      <c r="AO87" s="6" t="n">
        <f aca="false">VLOOKUP($E87,Role!$A$2:$O$9,10,0)</f>
        <v>0.75</v>
      </c>
      <c r="AP87" s="6" t="n">
        <f aca="false">VLOOKUP($F87,Category!$A$2:$AZ$20,9,0)</f>
        <v>0</v>
      </c>
      <c r="AQ87" s="6" t="n">
        <f aca="false">VLOOKUP($F87,Category!$A$2:$AZ$20,11,0)</f>
        <v>0.555555555555556</v>
      </c>
      <c r="AR87" s="6" t="n">
        <f aca="false">VLOOKUP($E87,Role!$A$2:$O$9,10,0)</f>
        <v>0.75</v>
      </c>
      <c r="AS87" s="6" t="n">
        <f aca="false">VLOOKUP($F87,Category!$A$2:$AZ$20,10,0)</f>
        <v>0.555555555555556</v>
      </c>
      <c r="AT87" s="7" t="n">
        <f aca="false">VLOOKUP($F87,Category!$A$2:$AZ$20,14,0)</f>
        <v>0.416666666666667</v>
      </c>
      <c r="AU87" s="7" t="n">
        <f aca="false">VLOOKUP($F87,Category!$A$2:$AZ$20,16,0)</f>
        <v>0.25</v>
      </c>
      <c r="AV87" s="7" t="n">
        <f aca="false">VLOOKUP($D87,Size!$A$2:$Z$13,17,0)</f>
        <v>4</v>
      </c>
      <c r="AW87" s="7" t="n">
        <f aca="false">VLOOKUP($F87,Category!$A$2:$AZ$20,29,0)</f>
        <v>0.333333333333333</v>
      </c>
      <c r="AX87" s="7" t="n">
        <f aca="false">VLOOKUP($F87,Category!$A$2:$AZ$20,31,0)</f>
        <v>0.333333333333333</v>
      </c>
      <c r="AY87" s="7" t="n">
        <f aca="false">VLOOKUP($D87,Size!$A$2:$Z$13,16,0)</f>
        <v>1</v>
      </c>
      <c r="AZ87" s="7" t="n">
        <f aca="false">VLOOKUP($E87,Role!$A$2:$O$9,11,0)</f>
        <v>0.75</v>
      </c>
      <c r="BB87" s="5" t="n">
        <f aca="false">VLOOKUP($D87,Size!$A$2:$Z$13,19,0)</f>
        <v>6</v>
      </c>
      <c r="BC87" s="5" t="n">
        <f aca="false">VLOOKUP($D87,Size!$A$2:$Z$13,20,0)</f>
        <v>0.33</v>
      </c>
      <c r="BD87" s="5" t="n">
        <f aca="false">VLOOKUP($E87,Role!$A$2:$O$9,13,0)</f>
        <v>0.75</v>
      </c>
      <c r="BE87" s="5" t="n">
        <f aca="false">VLOOKUP($C87,Type!$A$2:$B$4,2,0)</f>
        <v>1</v>
      </c>
    </row>
    <row r="88" customFormat="false" ht="12.8" hidden="false" customHeight="false" outlineLevel="0" collapsed="false">
      <c r="B88" s="2" t="n">
        <v>4</v>
      </c>
      <c r="C88" s="3" t="s">
        <v>51</v>
      </c>
      <c r="D88" s="1" t="s">
        <v>68</v>
      </c>
      <c r="E88" s="1" t="s">
        <v>66</v>
      </c>
      <c r="F88" s="1" t="s">
        <v>67</v>
      </c>
      <c r="G88" s="1" t="s">
        <v>79</v>
      </c>
      <c r="H88" s="4" t="n">
        <f aca="false">VLOOKUP($D88,Size!$A$2:$F$13,6,0)</f>
        <v>-2</v>
      </c>
      <c r="J88" s="12" t="n">
        <f aca="false">INT(($B88*$AY88*$AW88*$AZ88)+($B88*$AX88))</f>
        <v>3</v>
      </c>
      <c r="K88" s="4" t="n">
        <f aca="false">ROUND((($B88*$AT88)+($AV88*$AU88)),0)</f>
        <v>2</v>
      </c>
      <c r="L88" s="4" t="n">
        <f aca="false">ROUND((($B88*$AP88)+($B88*$AQ88))*$AR88,0)</f>
        <v>2</v>
      </c>
      <c r="M88" s="4" t="n">
        <f aca="false">ROUND((($B88*$AM88)+($B88*$AN88))*$AO88,0)</f>
        <v>2</v>
      </c>
      <c r="N88" s="4" t="n">
        <f aca="false">ROUND((($B88*$AG88)+($B88*$AH88))*$AI88,0)</f>
        <v>1</v>
      </c>
      <c r="O88" s="4" t="n">
        <f aca="false">ROUND((($B88*$AJ88)+($B88*$AK88))*$AL88,0)</f>
        <v>3</v>
      </c>
      <c r="Q88" s="4" t="n">
        <f aca="false">INT(VLOOKUP($E88,Role!$A$2:$O$9,8,0)*$B88)</f>
        <v>3</v>
      </c>
      <c r="R88" s="4" t="n">
        <f aca="false">INT(VLOOKUP($E88,Role!$A$2:$O$9,9,0)*$B88)</f>
        <v>3</v>
      </c>
      <c r="S88" s="4" t="n">
        <f aca="false">INT(VLOOKUP($E88,Role!$A$2:$P$9,16,0)*$B88*$AS88)</f>
        <v>1</v>
      </c>
      <c r="T88" s="4" t="n">
        <f aca="false">INT(VLOOKUP($D88,Size!$A$2:$Z$13,18,0)*VLOOKUP($E88,Role!$A$2:$O$9,13,0)*$B88/2)</f>
        <v>9</v>
      </c>
      <c r="U88" s="4" t="n">
        <f aca="false">INT(($BB88*$BE88)+($J88*$BC88))</f>
        <v>8</v>
      </c>
      <c r="V88" s="4" t="n">
        <f aca="false">INT((10+$N88)*VLOOKUP($E88,Role!$A$2:$O$9,14,0))</f>
        <v>11</v>
      </c>
      <c r="W88" s="4" t="n">
        <f aca="false">INT($J88*VLOOKUP($E88,Role!$A$2:$O$9,12,0))</f>
        <v>2</v>
      </c>
      <c r="Y88" s="2" t="n">
        <f aca="false">ROUND(MAX($K88,$M88)+(MIN($K88,$M88)*VLOOKUP($E88,Role!$A$2:$O$9,14,0)),0)</f>
        <v>4</v>
      </c>
      <c r="Z88" s="2" t="n">
        <f aca="false">MAX(1,INT(((MIN($J88:$K88)+(MAX($J88:$K88)*$H88*VLOOKUP($E88,Role!$A$2:$O$9,15,0))))*VLOOKUP($G88,Movement!$A$2:$C$7,3,0)))</f>
        <v>1</v>
      </c>
      <c r="AB88" s="5" t="n">
        <f aca="false">INT(5+(($H88-1)/3))</f>
        <v>4</v>
      </c>
      <c r="AC88" s="5" t="n">
        <f aca="false">IF($AB88&lt;$J88,$J88-MAX($AB88,$B88),0)</f>
        <v>0</v>
      </c>
      <c r="AD88" s="5" t="n">
        <f aca="false">(5-ROUND(($H88-1)/3,0))</f>
        <v>6</v>
      </c>
      <c r="AE88" s="5" t="n">
        <f aca="false">IF($AD88&lt;$K88,$K88-MAX($AD88,$B88),0)</f>
        <v>0</v>
      </c>
      <c r="AG88" s="6" t="n">
        <f aca="false">VLOOKUP($F88,Category!$A$2:$AZ$20,24,0)</f>
        <v>0</v>
      </c>
      <c r="AH88" s="6" t="n">
        <f aca="false">VLOOKUP($F88,Category!$A$2:$AZ$20,26,0)</f>
        <v>0.333333333333333</v>
      </c>
      <c r="AI88" s="6" t="n">
        <f aca="false">VLOOKUP($E88,Role!$A$2:$O$9,10,0)</f>
        <v>0.75</v>
      </c>
      <c r="AJ88" s="6" t="n">
        <f aca="false">VLOOKUP($F88,Category!$A$2:$AZ$20,19,0)</f>
        <v>0.0909090909090909</v>
      </c>
      <c r="AK88" s="6" t="n">
        <f aca="false">VLOOKUP($F88,Category!$A$2:$AZ$20,21,0)</f>
        <v>0.545454545454545</v>
      </c>
      <c r="AL88" s="6" t="n">
        <f aca="false">1</f>
        <v>1</v>
      </c>
      <c r="AM88" s="6" t="n">
        <f aca="false">VLOOKUP($F88,Category!$A$2:$AZ$20,19,0)</f>
        <v>0.0909090909090909</v>
      </c>
      <c r="AN88" s="6" t="n">
        <f aca="false">VLOOKUP($F88,Category!$A$2:$AZ$20,21,0)</f>
        <v>0.545454545454545</v>
      </c>
      <c r="AO88" s="6" t="n">
        <f aca="false">VLOOKUP($E88,Role!$A$2:$O$9,10,0)</f>
        <v>0.75</v>
      </c>
      <c r="AP88" s="6" t="n">
        <f aca="false">VLOOKUP($F88,Category!$A$2:$AZ$20,9,0)</f>
        <v>0</v>
      </c>
      <c r="AQ88" s="6" t="n">
        <f aca="false">VLOOKUP($F88,Category!$A$2:$AZ$20,11,0)</f>
        <v>0.555555555555556</v>
      </c>
      <c r="AR88" s="6" t="n">
        <f aca="false">VLOOKUP($E88,Role!$A$2:$O$9,10,0)</f>
        <v>0.75</v>
      </c>
      <c r="AS88" s="6" t="n">
        <f aca="false">VLOOKUP($F88,Category!$A$2:$AZ$20,10,0)</f>
        <v>0.555555555555556</v>
      </c>
      <c r="AT88" s="7" t="n">
        <f aca="false">VLOOKUP($F88,Category!$A$2:$AZ$20,14,0)</f>
        <v>0.416666666666667</v>
      </c>
      <c r="AU88" s="7" t="n">
        <f aca="false">VLOOKUP($F88,Category!$A$2:$AZ$20,16,0)</f>
        <v>0.25</v>
      </c>
      <c r="AV88" s="7" t="n">
        <f aca="false">VLOOKUP($D88,Size!$A$2:$Z$13,17,0)</f>
        <v>3</v>
      </c>
      <c r="AW88" s="7" t="n">
        <f aca="false">VLOOKUP($F88,Category!$A$2:$AZ$20,29,0)</f>
        <v>0.333333333333333</v>
      </c>
      <c r="AX88" s="7" t="n">
        <f aca="false">VLOOKUP($F88,Category!$A$2:$AZ$20,31,0)</f>
        <v>0.333333333333333</v>
      </c>
      <c r="AY88" s="7" t="n">
        <f aca="false">VLOOKUP($D88,Size!$A$2:$Z$13,16,0)</f>
        <v>2</v>
      </c>
      <c r="AZ88" s="7" t="n">
        <f aca="false">VLOOKUP($E88,Role!$A$2:$O$9,11,0)</f>
        <v>0.75</v>
      </c>
      <c r="BB88" s="5" t="n">
        <f aca="false">VLOOKUP($D88,Size!$A$2:$Z$13,19,0)</f>
        <v>7</v>
      </c>
      <c r="BC88" s="5" t="n">
        <f aca="false">VLOOKUP($D88,Size!$A$2:$Z$13,20,0)</f>
        <v>0.5</v>
      </c>
      <c r="BD88" s="5" t="n">
        <f aca="false">VLOOKUP($E88,Role!$A$2:$O$9,13,0)</f>
        <v>0.75</v>
      </c>
      <c r="BE88" s="5" t="n">
        <f aca="false">VLOOKUP($C88,Type!$A$2:$B$4,2,0)</f>
        <v>1</v>
      </c>
    </row>
    <row r="89" customFormat="false" ht="12.8" hidden="false" customHeight="false" outlineLevel="0" collapsed="false">
      <c r="B89" s="2" t="n">
        <v>4</v>
      </c>
      <c r="C89" s="3" t="s">
        <v>51</v>
      </c>
      <c r="D89" s="1" t="s">
        <v>69</v>
      </c>
      <c r="E89" s="1" t="s">
        <v>66</v>
      </c>
      <c r="F89" s="1" t="s">
        <v>67</v>
      </c>
      <c r="G89" s="1" t="s">
        <v>79</v>
      </c>
      <c r="H89" s="4" t="n">
        <f aca="false">VLOOKUP($D89,Size!$A$2:$F$13,6,0)</f>
        <v>-1</v>
      </c>
      <c r="J89" s="12" t="n">
        <f aca="false">INT(($B89*$AY89*$AW89*$AZ89)+($B89*$AX89))</f>
        <v>3</v>
      </c>
      <c r="K89" s="4" t="n">
        <f aca="false">ROUND((($B89*$AT89)+($AV89*$AU89)),0)</f>
        <v>2</v>
      </c>
      <c r="L89" s="4" t="n">
        <f aca="false">ROUND((($B89*$AP89)+($B89*$AQ89))*$AR89,0)</f>
        <v>2</v>
      </c>
      <c r="M89" s="4" t="n">
        <f aca="false">ROUND((($B89*$AM89)+($B89*$AN89))*$AO89,0)</f>
        <v>2</v>
      </c>
      <c r="N89" s="4" t="n">
        <f aca="false">ROUND((($B89*$AG89)+($B89*$AH89))*$AI89,0)</f>
        <v>1</v>
      </c>
      <c r="O89" s="4" t="n">
        <f aca="false">ROUND((($B89*$AJ89)+($B89*$AK89))*$AL89,0)</f>
        <v>3</v>
      </c>
      <c r="Q89" s="4" t="n">
        <f aca="false">INT(VLOOKUP($E89,Role!$A$2:$O$9,8,0)*$B89)</f>
        <v>3</v>
      </c>
      <c r="R89" s="4" t="n">
        <f aca="false">INT(VLOOKUP($E89,Role!$A$2:$O$9,9,0)*$B89)</f>
        <v>3</v>
      </c>
      <c r="S89" s="4" t="n">
        <f aca="false">INT(VLOOKUP($E89,Role!$A$2:$P$9,16,0)*$B89*$AS89)</f>
        <v>1</v>
      </c>
      <c r="T89" s="4" t="n">
        <f aca="false">INT(VLOOKUP($D89,Size!$A$2:$Z$13,18,0)*VLOOKUP($E89,Role!$A$2:$O$9,13,0)*$B89/2)</f>
        <v>12</v>
      </c>
      <c r="U89" s="4" t="n">
        <f aca="false">INT(($BB89*$BE89)+($J89*$BC89))</f>
        <v>9</v>
      </c>
      <c r="V89" s="4" t="n">
        <f aca="false">INT((10+$N89)*VLOOKUP($E89,Role!$A$2:$O$9,14,0))</f>
        <v>11</v>
      </c>
      <c r="W89" s="4" t="n">
        <f aca="false">INT($J89*VLOOKUP($E89,Role!$A$2:$O$9,12,0))</f>
        <v>2</v>
      </c>
      <c r="Y89" s="2" t="n">
        <f aca="false">ROUND(MAX($K89,$M89)+(MIN($K89,$M89)*VLOOKUP($E89,Role!$A$2:$O$9,14,0)),0)</f>
        <v>4</v>
      </c>
      <c r="Z89" s="2" t="n">
        <f aca="false">MAX(1,INT(((MIN($J89:$K89)+(MAX($J89:$K89)*$H89*VLOOKUP($E89,Role!$A$2:$O$9,15,0))))*VLOOKUP($G89,Movement!$A$2:$C$7,3,0)))</f>
        <v>1</v>
      </c>
      <c r="AB89" s="5" t="n">
        <f aca="false">INT(5+(($H89-1)/3))</f>
        <v>4</v>
      </c>
      <c r="AC89" s="5" t="n">
        <f aca="false">IF($AB89&lt;$J89,$J89-MAX($AB89,$B89),0)</f>
        <v>0</v>
      </c>
      <c r="AD89" s="5" t="n">
        <f aca="false">(5-ROUND(($H89-1)/3,0))</f>
        <v>6</v>
      </c>
      <c r="AE89" s="5" t="n">
        <f aca="false">IF($AD89&lt;$K89,$K89-MAX($AD89,$B89),0)</f>
        <v>0</v>
      </c>
      <c r="AG89" s="6" t="n">
        <f aca="false">VLOOKUP($F89,Category!$A$2:$AZ$20,24,0)</f>
        <v>0</v>
      </c>
      <c r="AH89" s="6" t="n">
        <f aca="false">VLOOKUP($F89,Category!$A$2:$AZ$20,26,0)</f>
        <v>0.333333333333333</v>
      </c>
      <c r="AI89" s="6" t="n">
        <f aca="false">VLOOKUP($E89,Role!$A$2:$O$9,10,0)</f>
        <v>0.75</v>
      </c>
      <c r="AJ89" s="6" t="n">
        <f aca="false">VLOOKUP($F89,Category!$A$2:$AZ$20,19,0)</f>
        <v>0.0909090909090909</v>
      </c>
      <c r="AK89" s="6" t="n">
        <f aca="false">VLOOKUP($F89,Category!$A$2:$AZ$20,21,0)</f>
        <v>0.545454545454545</v>
      </c>
      <c r="AL89" s="6" t="n">
        <f aca="false">1</f>
        <v>1</v>
      </c>
      <c r="AM89" s="6" t="n">
        <f aca="false">VLOOKUP($F89,Category!$A$2:$AZ$20,19,0)</f>
        <v>0.0909090909090909</v>
      </c>
      <c r="AN89" s="6" t="n">
        <f aca="false">VLOOKUP($F89,Category!$A$2:$AZ$20,21,0)</f>
        <v>0.545454545454545</v>
      </c>
      <c r="AO89" s="6" t="n">
        <f aca="false">VLOOKUP($E89,Role!$A$2:$O$9,10,0)</f>
        <v>0.75</v>
      </c>
      <c r="AP89" s="6" t="n">
        <f aca="false">VLOOKUP($F89,Category!$A$2:$AZ$20,9,0)</f>
        <v>0</v>
      </c>
      <c r="AQ89" s="6" t="n">
        <f aca="false">VLOOKUP($F89,Category!$A$2:$AZ$20,11,0)</f>
        <v>0.555555555555556</v>
      </c>
      <c r="AR89" s="6" t="n">
        <f aca="false">VLOOKUP($E89,Role!$A$2:$O$9,10,0)</f>
        <v>0.75</v>
      </c>
      <c r="AS89" s="6" t="n">
        <f aca="false">VLOOKUP($F89,Category!$A$2:$AZ$20,10,0)</f>
        <v>0.555555555555556</v>
      </c>
      <c r="AT89" s="7" t="n">
        <f aca="false">VLOOKUP($F89,Category!$A$2:$AZ$20,14,0)</f>
        <v>0.416666666666667</v>
      </c>
      <c r="AU89" s="7" t="n">
        <f aca="false">VLOOKUP($F89,Category!$A$2:$AZ$20,16,0)</f>
        <v>0.25</v>
      </c>
      <c r="AV89" s="7" t="n">
        <f aca="false">VLOOKUP($D89,Size!$A$2:$Z$13,17,0)</f>
        <v>3</v>
      </c>
      <c r="AW89" s="7" t="n">
        <f aca="false">VLOOKUP($F89,Category!$A$2:$AZ$20,29,0)</f>
        <v>0.333333333333333</v>
      </c>
      <c r="AX89" s="7" t="n">
        <f aca="false">VLOOKUP($F89,Category!$A$2:$AZ$20,31,0)</f>
        <v>0.333333333333333</v>
      </c>
      <c r="AY89" s="7" t="n">
        <f aca="false">VLOOKUP($D89,Size!$A$2:$Z$13,16,0)</f>
        <v>2</v>
      </c>
      <c r="AZ89" s="7" t="n">
        <f aca="false">VLOOKUP($E89,Role!$A$2:$O$9,11,0)</f>
        <v>0.75</v>
      </c>
      <c r="BB89" s="5" t="n">
        <f aca="false">VLOOKUP($D89,Size!$A$2:$Z$13,19,0)</f>
        <v>8</v>
      </c>
      <c r="BC89" s="5" t="n">
        <f aca="false">VLOOKUP($D89,Size!$A$2:$Z$13,20,0)</f>
        <v>0.66</v>
      </c>
      <c r="BD89" s="5" t="n">
        <f aca="false">VLOOKUP($E89,Role!$A$2:$O$9,13,0)</f>
        <v>0.75</v>
      </c>
      <c r="BE89" s="5" t="n">
        <f aca="false">VLOOKUP($C89,Type!$A$2:$B$4,2,0)</f>
        <v>1</v>
      </c>
    </row>
    <row r="90" customFormat="false" ht="12.8" hidden="false" customHeight="false" outlineLevel="0" collapsed="false">
      <c r="B90" s="2" t="n">
        <v>4</v>
      </c>
      <c r="C90" s="3" t="s">
        <v>51</v>
      </c>
      <c r="D90" s="1" t="s">
        <v>70</v>
      </c>
      <c r="E90" s="1" t="s">
        <v>66</v>
      </c>
      <c r="F90" s="1" t="s">
        <v>67</v>
      </c>
      <c r="G90" s="1" t="s">
        <v>79</v>
      </c>
      <c r="H90" s="4" t="n">
        <f aca="false">VLOOKUP($D90,Size!$A$2:$F$13,6,0)</f>
        <v>0</v>
      </c>
      <c r="J90" s="12" t="n">
        <f aca="false">INT(($B90*$AY90*$AW90*$AZ90)+($B90*$AX90))</f>
        <v>3</v>
      </c>
      <c r="K90" s="4" t="n">
        <f aca="false">ROUND((($B90*$AT90)+($AV90*$AU90)),0)</f>
        <v>2</v>
      </c>
      <c r="L90" s="4" t="n">
        <f aca="false">ROUND((($B90*$AP90)+($B90*$AQ90))*$AR90,0)</f>
        <v>2</v>
      </c>
      <c r="M90" s="4" t="n">
        <f aca="false">ROUND((($B90*$AM90)+($B90*$AN90))*$AO90,0)</f>
        <v>2</v>
      </c>
      <c r="N90" s="4" t="n">
        <f aca="false">ROUND((($B90*$AG90)+($B90*$AH90))*$AI90,0)</f>
        <v>1</v>
      </c>
      <c r="O90" s="4" t="n">
        <f aca="false">ROUND((($B90*$AJ90)+($B90*$AK90))*$AL90,0)</f>
        <v>3</v>
      </c>
      <c r="Q90" s="4" t="n">
        <f aca="false">INT(VLOOKUP($E90,Role!$A$2:$O$9,8,0)*$B90)</f>
        <v>3</v>
      </c>
      <c r="R90" s="4" t="n">
        <f aca="false">INT(VLOOKUP($E90,Role!$A$2:$O$9,9,0)*$B90)</f>
        <v>3</v>
      </c>
      <c r="S90" s="4" t="n">
        <f aca="false">INT(VLOOKUP($E90,Role!$A$2:$P$9,16,0)*$B90*$AS90)</f>
        <v>1</v>
      </c>
      <c r="T90" s="4" t="n">
        <f aca="false">INT(VLOOKUP($D90,Size!$A$2:$Z$13,18,0)*VLOOKUP($E90,Role!$A$2:$O$9,13,0)*$B90/2)</f>
        <v>15</v>
      </c>
      <c r="U90" s="4" t="n">
        <f aca="false">INT(($BB90*$BE90)+($J90*$BC90))</f>
        <v>11</v>
      </c>
      <c r="V90" s="4" t="n">
        <f aca="false">INT((10+$N90)*VLOOKUP($E90,Role!$A$2:$O$9,14,0))</f>
        <v>11</v>
      </c>
      <c r="W90" s="4" t="n">
        <f aca="false">INT($J90*VLOOKUP($E90,Role!$A$2:$O$9,12,0))</f>
        <v>2</v>
      </c>
      <c r="Y90" s="2" t="n">
        <f aca="false">ROUND(MAX($K90,$M90)+(MIN($K90,$M90)*VLOOKUP($E90,Role!$A$2:$O$9,14,0)),0)</f>
        <v>4</v>
      </c>
      <c r="Z90" s="2" t="n">
        <f aca="false">MAX(1,INT(((MIN($J90:$K90)+(MAX($J90:$K90)*$H90*VLOOKUP($E90,Role!$A$2:$O$9,15,0))))*VLOOKUP($G90,Movement!$A$2:$C$7,3,0)))</f>
        <v>3</v>
      </c>
      <c r="AB90" s="5" t="n">
        <f aca="false">INT(5+(($H90-1)/3))</f>
        <v>4</v>
      </c>
      <c r="AC90" s="5" t="n">
        <f aca="false">IF($AB90&lt;$J90,$J90-MAX($AB90,$B90),0)</f>
        <v>0</v>
      </c>
      <c r="AD90" s="5" t="n">
        <f aca="false">(5-ROUND(($H90-1)/3,0))</f>
        <v>5</v>
      </c>
      <c r="AE90" s="5" t="n">
        <f aca="false">IF($AD90&lt;$K90,$K90-MAX($AD90,$B90),0)</f>
        <v>0</v>
      </c>
      <c r="AG90" s="6" t="n">
        <f aca="false">VLOOKUP($F90,Category!$A$2:$AZ$20,24,0)</f>
        <v>0</v>
      </c>
      <c r="AH90" s="6" t="n">
        <f aca="false">VLOOKUP($F90,Category!$A$2:$AZ$20,26,0)</f>
        <v>0.333333333333333</v>
      </c>
      <c r="AI90" s="6" t="n">
        <f aca="false">VLOOKUP($E90,Role!$A$2:$O$9,10,0)</f>
        <v>0.75</v>
      </c>
      <c r="AJ90" s="6" t="n">
        <f aca="false">VLOOKUP($F90,Category!$A$2:$AZ$20,19,0)</f>
        <v>0.0909090909090909</v>
      </c>
      <c r="AK90" s="6" t="n">
        <f aca="false">VLOOKUP($F90,Category!$A$2:$AZ$20,21,0)</f>
        <v>0.545454545454545</v>
      </c>
      <c r="AL90" s="6" t="n">
        <f aca="false">1</f>
        <v>1</v>
      </c>
      <c r="AM90" s="6" t="n">
        <f aca="false">VLOOKUP($F90,Category!$A$2:$AZ$20,19,0)</f>
        <v>0.0909090909090909</v>
      </c>
      <c r="AN90" s="6" t="n">
        <f aca="false">VLOOKUP($F90,Category!$A$2:$AZ$20,21,0)</f>
        <v>0.545454545454545</v>
      </c>
      <c r="AO90" s="6" t="n">
        <f aca="false">VLOOKUP($E90,Role!$A$2:$O$9,10,0)</f>
        <v>0.75</v>
      </c>
      <c r="AP90" s="6" t="n">
        <f aca="false">VLOOKUP($F90,Category!$A$2:$AZ$20,9,0)</f>
        <v>0</v>
      </c>
      <c r="AQ90" s="6" t="n">
        <f aca="false">VLOOKUP($F90,Category!$A$2:$AZ$20,11,0)</f>
        <v>0.555555555555556</v>
      </c>
      <c r="AR90" s="6" t="n">
        <f aca="false">VLOOKUP($E90,Role!$A$2:$O$9,10,0)</f>
        <v>0.75</v>
      </c>
      <c r="AS90" s="6" t="n">
        <f aca="false">VLOOKUP($F90,Category!$A$2:$AZ$20,10,0)</f>
        <v>0.555555555555556</v>
      </c>
      <c r="AT90" s="7" t="n">
        <f aca="false">VLOOKUP($F90,Category!$A$2:$AZ$20,14,0)</f>
        <v>0.416666666666667</v>
      </c>
      <c r="AU90" s="7" t="n">
        <f aca="false">VLOOKUP($F90,Category!$A$2:$AZ$20,16,0)</f>
        <v>0.25</v>
      </c>
      <c r="AV90" s="7" t="n">
        <f aca="false">VLOOKUP($D90,Size!$A$2:$Z$13,17,0)</f>
        <v>3</v>
      </c>
      <c r="AW90" s="7" t="n">
        <f aca="false">VLOOKUP($F90,Category!$A$2:$AZ$20,29,0)</f>
        <v>0.333333333333333</v>
      </c>
      <c r="AX90" s="7" t="n">
        <f aca="false">VLOOKUP($F90,Category!$A$2:$AZ$20,31,0)</f>
        <v>0.333333333333333</v>
      </c>
      <c r="AY90" s="7" t="n">
        <f aca="false">VLOOKUP($D90,Size!$A$2:$Z$13,16,0)</f>
        <v>2</v>
      </c>
      <c r="AZ90" s="7" t="n">
        <f aca="false">VLOOKUP($E90,Role!$A$2:$O$9,11,0)</f>
        <v>0.75</v>
      </c>
      <c r="BB90" s="5" t="n">
        <f aca="false">VLOOKUP($D90,Size!$A$2:$Z$13,19,0)</f>
        <v>9</v>
      </c>
      <c r="BC90" s="5" t="n">
        <f aca="false">VLOOKUP($D90,Size!$A$2:$Z$13,20,0)</f>
        <v>0.75</v>
      </c>
      <c r="BD90" s="5" t="n">
        <f aca="false">VLOOKUP($E90,Role!$A$2:$O$9,13,0)</f>
        <v>0.75</v>
      </c>
      <c r="BE90" s="5" t="n">
        <f aca="false">VLOOKUP($C90,Type!$A$2:$B$4,2,0)</f>
        <v>1</v>
      </c>
    </row>
    <row r="91" customFormat="false" ht="12.8" hidden="false" customHeight="false" outlineLevel="0" collapsed="false">
      <c r="B91" s="2" t="n">
        <v>4</v>
      </c>
      <c r="C91" s="3" t="s">
        <v>51</v>
      </c>
      <c r="D91" s="1" t="s">
        <v>52</v>
      </c>
      <c r="E91" s="1" t="s">
        <v>66</v>
      </c>
      <c r="F91" s="1" t="s">
        <v>67</v>
      </c>
      <c r="G91" s="1" t="s">
        <v>79</v>
      </c>
      <c r="H91" s="4" t="n">
        <f aca="false">VLOOKUP($D91,Size!$A$2:$F$13,6,0)</f>
        <v>1</v>
      </c>
      <c r="J91" s="12" t="n">
        <f aca="false">INT(($B91*$AY91*$AW91*$AZ91)+($B91*$AX91))</f>
        <v>4</v>
      </c>
      <c r="K91" s="4" t="n">
        <f aca="false">ROUND((($B91*$AT91)+($AV91*$AU91)),0)</f>
        <v>2</v>
      </c>
      <c r="L91" s="4" t="n">
        <f aca="false">ROUND((($B91*$AP91)+($B91*$AQ91))*$AR91,0)</f>
        <v>2</v>
      </c>
      <c r="M91" s="4" t="n">
        <f aca="false">ROUND((($B91*$AM91)+($B91*$AN91))*$AO91,0)</f>
        <v>2</v>
      </c>
      <c r="N91" s="4" t="n">
        <f aca="false">ROUND((($B91*$AG91)+($B91*$AH91))*$AI91,0)</f>
        <v>1</v>
      </c>
      <c r="O91" s="4" t="n">
        <f aca="false">ROUND((($B91*$AJ91)+($B91*$AK91))*$AL91,0)</f>
        <v>3</v>
      </c>
      <c r="Q91" s="4" t="n">
        <f aca="false">INT(VLOOKUP($E91,Role!$A$2:$O$9,8,0)*$B91)</f>
        <v>3</v>
      </c>
      <c r="R91" s="4" t="n">
        <f aca="false">INT(VLOOKUP($E91,Role!$A$2:$O$9,9,0)*$B91)</f>
        <v>3</v>
      </c>
      <c r="S91" s="4" t="n">
        <f aca="false">INT(VLOOKUP($E91,Role!$A$2:$P$9,16,0)*$B91*$AS91)</f>
        <v>1</v>
      </c>
      <c r="T91" s="4" t="n">
        <f aca="false">INT(VLOOKUP($D91,Size!$A$2:$Z$13,18,0)*VLOOKUP($E91,Role!$A$2:$O$9,13,0)*$B91/2)</f>
        <v>19</v>
      </c>
      <c r="U91" s="4" t="n">
        <f aca="false">INT(($BB91*$BE91)+($J91*$BC91))</f>
        <v>14</v>
      </c>
      <c r="V91" s="4" t="n">
        <f aca="false">INT((10+$N91)*VLOOKUP($E91,Role!$A$2:$O$9,14,0))</f>
        <v>11</v>
      </c>
      <c r="W91" s="4" t="n">
        <f aca="false">INT($J91*VLOOKUP($E91,Role!$A$2:$O$9,12,0))</f>
        <v>2</v>
      </c>
      <c r="Y91" s="2" t="n">
        <f aca="false">ROUND(MAX($K91,$M91)+(MIN($K91,$M91)*VLOOKUP($E91,Role!$A$2:$O$9,14,0)),0)</f>
        <v>4</v>
      </c>
      <c r="Z91" s="2" t="n">
        <f aca="false">MAX(1,INT(((MIN($J91:$K91)+(MAX($J91:$K91)*$H91*VLOOKUP($E91,Role!$A$2:$O$9,15,0))))*VLOOKUP($G91,Movement!$A$2:$C$7,3,0)))</f>
        <v>9</v>
      </c>
      <c r="AB91" s="5" t="n">
        <f aca="false">INT(5+(($H91-1)/3))</f>
        <v>5</v>
      </c>
      <c r="AC91" s="5" t="n">
        <f aca="false">IF($AB91&lt;$J91,$J91-MAX($AB91,$B91),0)</f>
        <v>0</v>
      </c>
      <c r="AD91" s="5" t="n">
        <f aca="false">(5-ROUND(($H91-1)/3,0))</f>
        <v>5</v>
      </c>
      <c r="AE91" s="5" t="n">
        <f aca="false">IF($AD91&lt;$K91,$K91-MAX($AD91,$B91),0)</f>
        <v>0</v>
      </c>
      <c r="AG91" s="6" t="n">
        <f aca="false">VLOOKUP($F91,Category!$A$2:$AZ$20,24,0)</f>
        <v>0</v>
      </c>
      <c r="AH91" s="6" t="n">
        <f aca="false">VLOOKUP($F91,Category!$A$2:$AZ$20,26,0)</f>
        <v>0.333333333333333</v>
      </c>
      <c r="AI91" s="6" t="n">
        <f aca="false">VLOOKUP($E91,Role!$A$2:$O$9,10,0)</f>
        <v>0.75</v>
      </c>
      <c r="AJ91" s="6" t="n">
        <f aca="false">VLOOKUP($F91,Category!$A$2:$AZ$20,19,0)</f>
        <v>0.0909090909090909</v>
      </c>
      <c r="AK91" s="6" t="n">
        <f aca="false">VLOOKUP($F91,Category!$A$2:$AZ$20,21,0)</f>
        <v>0.545454545454545</v>
      </c>
      <c r="AL91" s="6" t="n">
        <f aca="false">1</f>
        <v>1</v>
      </c>
      <c r="AM91" s="6" t="n">
        <f aca="false">VLOOKUP($F91,Category!$A$2:$AZ$20,19,0)</f>
        <v>0.0909090909090909</v>
      </c>
      <c r="AN91" s="6" t="n">
        <f aca="false">VLOOKUP($F91,Category!$A$2:$AZ$20,21,0)</f>
        <v>0.545454545454545</v>
      </c>
      <c r="AO91" s="6" t="n">
        <f aca="false">VLOOKUP($E91,Role!$A$2:$O$9,10,0)</f>
        <v>0.75</v>
      </c>
      <c r="AP91" s="6" t="n">
        <f aca="false">VLOOKUP($F91,Category!$A$2:$AZ$20,9,0)</f>
        <v>0</v>
      </c>
      <c r="AQ91" s="6" t="n">
        <f aca="false">VLOOKUP($F91,Category!$A$2:$AZ$20,11,0)</f>
        <v>0.555555555555556</v>
      </c>
      <c r="AR91" s="6" t="n">
        <f aca="false">VLOOKUP($E91,Role!$A$2:$O$9,10,0)</f>
        <v>0.75</v>
      </c>
      <c r="AS91" s="6" t="n">
        <f aca="false">VLOOKUP($F91,Category!$A$2:$AZ$20,10,0)</f>
        <v>0.555555555555556</v>
      </c>
      <c r="AT91" s="7" t="n">
        <f aca="false">VLOOKUP($F91,Category!$A$2:$AZ$20,14,0)</f>
        <v>0.416666666666667</v>
      </c>
      <c r="AU91" s="7" t="n">
        <f aca="false">VLOOKUP($F91,Category!$A$2:$AZ$20,16,0)</f>
        <v>0.25</v>
      </c>
      <c r="AV91" s="7" t="n">
        <f aca="false">VLOOKUP($D91,Size!$A$2:$Z$13,17,0)</f>
        <v>3</v>
      </c>
      <c r="AW91" s="7" t="n">
        <f aca="false">VLOOKUP($F91,Category!$A$2:$AZ$20,29,0)</f>
        <v>0.333333333333333</v>
      </c>
      <c r="AX91" s="7" t="n">
        <f aca="false">VLOOKUP($F91,Category!$A$2:$AZ$20,31,0)</f>
        <v>0.333333333333333</v>
      </c>
      <c r="AY91" s="7" t="n">
        <f aca="false">VLOOKUP($D91,Size!$A$2:$Z$13,16,0)</f>
        <v>3</v>
      </c>
      <c r="AZ91" s="7" t="n">
        <f aca="false">VLOOKUP($E91,Role!$A$2:$O$9,11,0)</f>
        <v>0.75</v>
      </c>
      <c r="BB91" s="5" t="n">
        <f aca="false">VLOOKUP($D91,Size!$A$2:$Z$13,19,0)</f>
        <v>10</v>
      </c>
      <c r="BC91" s="5" t="n">
        <f aca="false">VLOOKUP($D91,Size!$A$2:$Z$13,20,0)</f>
        <v>1</v>
      </c>
      <c r="BD91" s="5" t="n">
        <f aca="false">VLOOKUP($E91,Role!$A$2:$O$9,13,0)</f>
        <v>0.75</v>
      </c>
      <c r="BE91" s="5" t="n">
        <f aca="false">VLOOKUP($C91,Type!$A$2:$B$4,2,0)</f>
        <v>1</v>
      </c>
    </row>
    <row r="92" customFormat="false" ht="12.8" hidden="false" customHeight="false" outlineLevel="0" collapsed="false">
      <c r="B92" s="2" t="n">
        <v>4</v>
      </c>
      <c r="C92" s="3" t="s">
        <v>51</v>
      </c>
      <c r="D92" s="1" t="s">
        <v>71</v>
      </c>
      <c r="E92" s="1" t="s">
        <v>66</v>
      </c>
      <c r="F92" s="1" t="s">
        <v>67</v>
      </c>
      <c r="G92" s="1" t="s">
        <v>79</v>
      </c>
      <c r="H92" s="4" t="n">
        <f aca="false">VLOOKUP($D92,Size!$A$2:$F$13,6,0)</f>
        <v>2</v>
      </c>
      <c r="J92" s="12" t="n">
        <f aca="false">INT(($B92*$AY92*$AW92*$AZ92)+($B92*$AX92))</f>
        <v>4</v>
      </c>
      <c r="K92" s="4" t="n">
        <f aca="false">ROUND((($B92*$AT92)+($AV92*$AU92)),0)</f>
        <v>2</v>
      </c>
      <c r="L92" s="4" t="n">
        <f aca="false">ROUND((($B92*$AP92)+($B92*$AQ92))*$AR92,0)</f>
        <v>2</v>
      </c>
      <c r="M92" s="4" t="n">
        <f aca="false">ROUND((($B92*$AM92)+($B92*$AN92))*$AO92,0)</f>
        <v>2</v>
      </c>
      <c r="N92" s="4" t="n">
        <f aca="false">ROUND((($B92*$AG92)+($B92*$AH92))*$AI92,0)</f>
        <v>1</v>
      </c>
      <c r="O92" s="4" t="n">
        <f aca="false">ROUND((($B92*$AJ92)+($B92*$AK92))*$AL92,0)</f>
        <v>3</v>
      </c>
      <c r="Q92" s="4" t="n">
        <f aca="false">INT(VLOOKUP($E92,Role!$A$2:$O$9,8,0)*$B92)</f>
        <v>3</v>
      </c>
      <c r="R92" s="4" t="n">
        <f aca="false">INT(VLOOKUP($E92,Role!$A$2:$O$9,9,0)*$B92)</f>
        <v>3</v>
      </c>
      <c r="S92" s="4" t="n">
        <f aca="false">INT(VLOOKUP($E92,Role!$A$2:$P$9,16,0)*$B92*$AS92)</f>
        <v>1</v>
      </c>
      <c r="T92" s="4" t="n">
        <f aca="false">INT(VLOOKUP($D92,Size!$A$2:$Z$13,18,0)*VLOOKUP($E92,Role!$A$2:$O$9,13,0)*$B92/2)</f>
        <v>24</v>
      </c>
      <c r="U92" s="4" t="n">
        <f aca="false">INT(($BB92*$BE92)+($J92*$BC92))</f>
        <v>18</v>
      </c>
      <c r="V92" s="4" t="n">
        <f aca="false">INT((10+$N92)*VLOOKUP($E92,Role!$A$2:$O$9,14,0))</f>
        <v>11</v>
      </c>
      <c r="W92" s="4" t="n">
        <f aca="false">INT($J92*VLOOKUP($E92,Role!$A$2:$O$9,12,0))</f>
        <v>2</v>
      </c>
      <c r="Y92" s="2" t="n">
        <f aca="false">ROUND(MAX($K92,$M92)+(MIN($K92,$M92)*VLOOKUP($E92,Role!$A$2:$O$9,14,0)),0)</f>
        <v>4</v>
      </c>
      <c r="Z92" s="2" t="n">
        <f aca="false">MAX(1,INT(((MIN($J92:$K92)+(MAX($J92:$K92)*$H92*VLOOKUP($E92,Role!$A$2:$O$9,15,0))))*VLOOKUP($G92,Movement!$A$2:$C$7,3,0)))</f>
        <v>15</v>
      </c>
      <c r="AB92" s="5" t="n">
        <f aca="false">INT(5+(($H92-1)/3))</f>
        <v>5</v>
      </c>
      <c r="AC92" s="5" t="n">
        <f aca="false">IF($AB92&lt;$J92,$J92-MAX($AB92,$B92),0)</f>
        <v>0</v>
      </c>
      <c r="AD92" s="5" t="n">
        <f aca="false">(5-ROUND(($H92-1)/3,0))</f>
        <v>5</v>
      </c>
      <c r="AE92" s="5" t="n">
        <f aca="false">IF($AD92&lt;$K92,$K92-MAX($AD92,$B92),0)</f>
        <v>0</v>
      </c>
      <c r="AG92" s="6" t="n">
        <f aca="false">VLOOKUP($F92,Category!$A$2:$AZ$20,24,0)</f>
        <v>0</v>
      </c>
      <c r="AH92" s="6" t="n">
        <f aca="false">VLOOKUP($F92,Category!$A$2:$AZ$20,26,0)</f>
        <v>0.333333333333333</v>
      </c>
      <c r="AI92" s="6" t="n">
        <f aca="false">VLOOKUP($E92,Role!$A$2:$O$9,10,0)</f>
        <v>0.75</v>
      </c>
      <c r="AJ92" s="6" t="n">
        <f aca="false">VLOOKUP($F92,Category!$A$2:$AZ$20,19,0)</f>
        <v>0.0909090909090909</v>
      </c>
      <c r="AK92" s="6" t="n">
        <f aca="false">VLOOKUP($F92,Category!$A$2:$AZ$20,21,0)</f>
        <v>0.545454545454545</v>
      </c>
      <c r="AL92" s="6" t="n">
        <f aca="false">1</f>
        <v>1</v>
      </c>
      <c r="AM92" s="6" t="n">
        <f aca="false">VLOOKUP($F92,Category!$A$2:$AZ$20,19,0)</f>
        <v>0.0909090909090909</v>
      </c>
      <c r="AN92" s="6" t="n">
        <f aca="false">VLOOKUP($F92,Category!$A$2:$AZ$20,21,0)</f>
        <v>0.545454545454545</v>
      </c>
      <c r="AO92" s="6" t="n">
        <f aca="false">VLOOKUP($E92,Role!$A$2:$O$9,10,0)</f>
        <v>0.75</v>
      </c>
      <c r="AP92" s="6" t="n">
        <f aca="false">VLOOKUP($F92,Category!$A$2:$AZ$20,9,0)</f>
        <v>0</v>
      </c>
      <c r="AQ92" s="6" t="n">
        <f aca="false">VLOOKUP($F92,Category!$A$2:$AZ$20,11,0)</f>
        <v>0.555555555555556</v>
      </c>
      <c r="AR92" s="6" t="n">
        <f aca="false">VLOOKUP($E92,Role!$A$2:$O$9,10,0)</f>
        <v>0.75</v>
      </c>
      <c r="AS92" s="6" t="n">
        <f aca="false">VLOOKUP($F92,Category!$A$2:$AZ$20,10,0)</f>
        <v>0.555555555555556</v>
      </c>
      <c r="AT92" s="7" t="n">
        <f aca="false">VLOOKUP($F92,Category!$A$2:$AZ$20,14,0)</f>
        <v>0.416666666666667</v>
      </c>
      <c r="AU92" s="7" t="n">
        <f aca="false">VLOOKUP($F92,Category!$A$2:$AZ$20,16,0)</f>
        <v>0.25</v>
      </c>
      <c r="AV92" s="7" t="n">
        <f aca="false">VLOOKUP($D92,Size!$A$2:$Z$13,17,0)</f>
        <v>3</v>
      </c>
      <c r="AW92" s="7" t="n">
        <f aca="false">VLOOKUP($F92,Category!$A$2:$AZ$20,29,0)</f>
        <v>0.333333333333333</v>
      </c>
      <c r="AX92" s="7" t="n">
        <f aca="false">VLOOKUP($F92,Category!$A$2:$AZ$20,31,0)</f>
        <v>0.333333333333333</v>
      </c>
      <c r="AY92" s="7" t="n">
        <f aca="false">VLOOKUP($D92,Size!$A$2:$Z$13,16,0)</f>
        <v>3</v>
      </c>
      <c r="AZ92" s="7" t="n">
        <f aca="false">VLOOKUP($E92,Role!$A$2:$O$9,11,0)</f>
        <v>0.75</v>
      </c>
      <c r="BB92" s="5" t="n">
        <f aca="false">VLOOKUP($D92,Size!$A$2:$Z$13,19,0)</f>
        <v>12</v>
      </c>
      <c r="BC92" s="5" t="n">
        <f aca="false">VLOOKUP($D92,Size!$A$2:$Z$13,20,0)</f>
        <v>1.5</v>
      </c>
      <c r="BD92" s="5" t="n">
        <f aca="false">VLOOKUP($E92,Role!$A$2:$O$9,13,0)</f>
        <v>0.75</v>
      </c>
      <c r="BE92" s="5" t="n">
        <f aca="false">VLOOKUP($C92,Type!$A$2:$B$4,2,0)</f>
        <v>1</v>
      </c>
    </row>
    <row r="93" customFormat="false" ht="12.8" hidden="false" customHeight="false" outlineLevel="0" collapsed="false">
      <c r="B93" s="2" t="n">
        <v>4</v>
      </c>
      <c r="C93" s="3" t="s">
        <v>51</v>
      </c>
      <c r="D93" s="1" t="s">
        <v>72</v>
      </c>
      <c r="E93" s="1" t="s">
        <v>66</v>
      </c>
      <c r="F93" s="1" t="s">
        <v>67</v>
      </c>
      <c r="G93" s="1" t="s">
        <v>79</v>
      </c>
      <c r="H93" s="4" t="n">
        <f aca="false">VLOOKUP($D93,Size!$A$2:$F$13,6,0)</f>
        <v>3</v>
      </c>
      <c r="J93" s="12" t="n">
        <f aca="false">INT(($B93*$AY93*$AW93*$AZ93)+($B93*$AX93))</f>
        <v>5</v>
      </c>
      <c r="K93" s="4" t="n">
        <f aca="false">ROUND((($B93*$AT93)+($AV93*$AU93)),0)</f>
        <v>2</v>
      </c>
      <c r="L93" s="4" t="n">
        <f aca="false">ROUND((($B93*$AP93)+($B93*$AQ93))*$AR93,0)</f>
        <v>2</v>
      </c>
      <c r="M93" s="4" t="n">
        <f aca="false">ROUND((($B93*$AM93)+($B93*$AN93))*$AO93,0)</f>
        <v>2</v>
      </c>
      <c r="N93" s="4" t="n">
        <f aca="false">ROUND((($B93*$AG93)+($B93*$AH93))*$AI93,0)</f>
        <v>1</v>
      </c>
      <c r="O93" s="4" t="n">
        <f aca="false">ROUND((($B93*$AJ93)+($B93*$AK93))*$AL93,0)</f>
        <v>3</v>
      </c>
      <c r="Q93" s="4" t="n">
        <f aca="false">INT(VLOOKUP($E93,Role!$A$2:$O$9,8,0)*$B93)</f>
        <v>3</v>
      </c>
      <c r="R93" s="4" t="n">
        <f aca="false">INT(VLOOKUP($E93,Role!$A$2:$O$9,9,0)*$B93)</f>
        <v>3</v>
      </c>
      <c r="S93" s="4" t="n">
        <f aca="false">INT(VLOOKUP($E93,Role!$A$2:$P$9,16,0)*$B93*$AS93)</f>
        <v>1</v>
      </c>
      <c r="T93" s="4" t="n">
        <f aca="false">INT(VLOOKUP($D93,Size!$A$2:$Z$13,18,0)*VLOOKUP($E93,Role!$A$2:$O$9,13,0)*$B93/2)</f>
        <v>32</v>
      </c>
      <c r="U93" s="4" t="n">
        <f aca="false">INT(($BB93*$BE93)+($J93*$BC93))</f>
        <v>34</v>
      </c>
      <c r="V93" s="4" t="n">
        <f aca="false">INT((10+$N93)*VLOOKUP($E93,Role!$A$2:$O$9,14,0))</f>
        <v>11</v>
      </c>
      <c r="W93" s="4" t="n">
        <f aca="false">INT($J93*VLOOKUP($E93,Role!$A$2:$O$9,12,0))</f>
        <v>3</v>
      </c>
      <c r="Y93" s="2" t="n">
        <f aca="false">ROUND(MAX($K93,$M93)+(MIN($K93,$M93)*VLOOKUP($E93,Role!$A$2:$O$9,14,0)),0)</f>
        <v>4</v>
      </c>
      <c r="Z93" s="2" t="n">
        <f aca="false">MAX(1,INT(((MIN($J93:$K93)+(MAX($J93:$K93)*$H93*VLOOKUP($E93,Role!$A$2:$O$9,15,0))))*VLOOKUP($G93,Movement!$A$2:$C$7,3,0)))</f>
        <v>25</v>
      </c>
      <c r="AB93" s="5" t="n">
        <f aca="false">INT(5+(($H93-1)/3))</f>
        <v>5</v>
      </c>
      <c r="AC93" s="5" t="n">
        <f aca="false">IF($AB93&lt;$J93,$J93-MAX($AB93,$B93),0)</f>
        <v>0</v>
      </c>
      <c r="AD93" s="5" t="n">
        <f aca="false">(5-ROUND(($H93-1)/3,0))</f>
        <v>4</v>
      </c>
      <c r="AE93" s="5" t="n">
        <f aca="false">IF($AD93&lt;$K93,$K93-MAX($AD93,$B93),0)</f>
        <v>0</v>
      </c>
      <c r="AG93" s="6" t="n">
        <f aca="false">VLOOKUP($F93,Category!$A$2:$AZ$20,24,0)</f>
        <v>0</v>
      </c>
      <c r="AH93" s="6" t="n">
        <f aca="false">VLOOKUP($F93,Category!$A$2:$AZ$20,26,0)</f>
        <v>0.333333333333333</v>
      </c>
      <c r="AI93" s="6" t="n">
        <f aca="false">VLOOKUP($E93,Role!$A$2:$O$9,10,0)</f>
        <v>0.75</v>
      </c>
      <c r="AJ93" s="6" t="n">
        <f aca="false">VLOOKUP($F93,Category!$A$2:$AZ$20,19,0)</f>
        <v>0.0909090909090909</v>
      </c>
      <c r="AK93" s="6" t="n">
        <f aca="false">VLOOKUP($F93,Category!$A$2:$AZ$20,21,0)</f>
        <v>0.545454545454545</v>
      </c>
      <c r="AL93" s="6" t="n">
        <f aca="false">1</f>
        <v>1</v>
      </c>
      <c r="AM93" s="6" t="n">
        <f aca="false">VLOOKUP($F93,Category!$A$2:$AZ$20,19,0)</f>
        <v>0.0909090909090909</v>
      </c>
      <c r="AN93" s="6" t="n">
        <f aca="false">VLOOKUP($F93,Category!$A$2:$AZ$20,21,0)</f>
        <v>0.545454545454545</v>
      </c>
      <c r="AO93" s="6" t="n">
        <f aca="false">VLOOKUP($E93,Role!$A$2:$O$9,10,0)</f>
        <v>0.75</v>
      </c>
      <c r="AP93" s="6" t="n">
        <f aca="false">VLOOKUP($F93,Category!$A$2:$AZ$20,9,0)</f>
        <v>0</v>
      </c>
      <c r="AQ93" s="6" t="n">
        <f aca="false">VLOOKUP($F93,Category!$A$2:$AZ$20,11,0)</f>
        <v>0.555555555555556</v>
      </c>
      <c r="AR93" s="6" t="n">
        <f aca="false">VLOOKUP($E93,Role!$A$2:$O$9,10,0)</f>
        <v>0.75</v>
      </c>
      <c r="AS93" s="6" t="n">
        <f aca="false">VLOOKUP($F93,Category!$A$2:$AZ$20,10,0)</f>
        <v>0.555555555555556</v>
      </c>
      <c r="AT93" s="7" t="n">
        <f aca="false">VLOOKUP($F93,Category!$A$2:$AZ$20,14,0)</f>
        <v>0.416666666666667</v>
      </c>
      <c r="AU93" s="7" t="n">
        <f aca="false">VLOOKUP($F93,Category!$A$2:$AZ$20,16,0)</f>
        <v>0.25</v>
      </c>
      <c r="AV93" s="7" t="n">
        <f aca="false">VLOOKUP($D93,Size!$A$2:$Z$13,17,0)</f>
        <v>2</v>
      </c>
      <c r="AW93" s="7" t="n">
        <f aca="false">VLOOKUP($F93,Category!$A$2:$AZ$20,29,0)</f>
        <v>0.333333333333333</v>
      </c>
      <c r="AX93" s="7" t="n">
        <f aca="false">VLOOKUP($F93,Category!$A$2:$AZ$20,31,0)</f>
        <v>0.333333333333333</v>
      </c>
      <c r="AY93" s="7" t="n">
        <f aca="false">VLOOKUP($D93,Size!$A$2:$Z$13,16,0)</f>
        <v>4</v>
      </c>
      <c r="AZ93" s="7" t="n">
        <f aca="false">VLOOKUP($E93,Role!$A$2:$O$9,11,0)</f>
        <v>0.75</v>
      </c>
      <c r="BB93" s="5" t="n">
        <f aca="false">VLOOKUP($D93,Size!$A$2:$Z$13,19,0)</f>
        <v>14</v>
      </c>
      <c r="BC93" s="5" t="n">
        <f aca="false">VLOOKUP($D93,Size!$A$2:$Z$13,20,0)</f>
        <v>4</v>
      </c>
      <c r="BD93" s="5" t="n">
        <f aca="false">VLOOKUP($E93,Role!$A$2:$O$9,13,0)</f>
        <v>0.75</v>
      </c>
      <c r="BE93" s="5" t="n">
        <f aca="false">VLOOKUP($C93,Type!$A$2:$B$4,2,0)</f>
        <v>1</v>
      </c>
    </row>
    <row r="94" customFormat="false" ht="12.8" hidden="false" customHeight="false" outlineLevel="0" collapsed="false">
      <c r="B94" s="2" t="n">
        <v>4</v>
      </c>
      <c r="C94" s="3" t="s">
        <v>51</v>
      </c>
      <c r="D94" s="1" t="s">
        <v>73</v>
      </c>
      <c r="E94" s="1" t="s">
        <v>66</v>
      </c>
      <c r="F94" s="1" t="s">
        <v>67</v>
      </c>
      <c r="G94" s="1" t="s">
        <v>79</v>
      </c>
      <c r="H94" s="4" t="n">
        <f aca="false">VLOOKUP($D94,Size!$A$2:$F$13,6,0)</f>
        <v>4</v>
      </c>
      <c r="J94" s="12" t="n">
        <f aca="false">INT(($B94*$AY94*$AW94*$AZ94)+($B94*$AX94))</f>
        <v>5</v>
      </c>
      <c r="K94" s="4" t="n">
        <f aca="false">ROUND((($B94*$AT94)+($AV94*$AU94)),0)</f>
        <v>2</v>
      </c>
      <c r="L94" s="4" t="n">
        <f aca="false">ROUND((($B94*$AP94)+($B94*$AQ94))*$AR94,0)</f>
        <v>2</v>
      </c>
      <c r="M94" s="4" t="n">
        <f aca="false">ROUND((($B94*$AM94)+($B94*$AN94))*$AO94,0)</f>
        <v>2</v>
      </c>
      <c r="N94" s="4" t="n">
        <f aca="false">ROUND((($B94*$AG94)+($B94*$AH94))*$AI94,0)</f>
        <v>1</v>
      </c>
      <c r="O94" s="4" t="n">
        <f aca="false">ROUND((($B94*$AJ94)+($B94*$AK94))*$AL94,0)</f>
        <v>3</v>
      </c>
      <c r="Q94" s="4" t="n">
        <f aca="false">INT(VLOOKUP($E94,Role!$A$2:$O$9,8,0)*$B94)</f>
        <v>3</v>
      </c>
      <c r="R94" s="4" t="n">
        <f aca="false">INT(VLOOKUP($E94,Role!$A$2:$O$9,9,0)*$B94)</f>
        <v>3</v>
      </c>
      <c r="S94" s="4" t="n">
        <f aca="false">INT(VLOOKUP($E94,Role!$A$2:$P$9,16,0)*$B94*$AS94)</f>
        <v>1</v>
      </c>
      <c r="T94" s="4" t="n">
        <f aca="false">INT(VLOOKUP($D94,Size!$A$2:$Z$13,18,0)*VLOOKUP($E94,Role!$A$2:$O$9,13,0)*$B94/2)</f>
        <v>37</v>
      </c>
      <c r="U94" s="4" t="n">
        <f aca="false">INT(($BB94*$BE94)+($J94*$BC94))</f>
        <v>46</v>
      </c>
      <c r="V94" s="4" t="n">
        <f aca="false">INT((10+$N94)*VLOOKUP($E94,Role!$A$2:$O$9,14,0))</f>
        <v>11</v>
      </c>
      <c r="W94" s="4" t="n">
        <f aca="false">INT($J94*VLOOKUP($E94,Role!$A$2:$O$9,12,0))</f>
        <v>3</v>
      </c>
      <c r="Y94" s="2" t="n">
        <f aca="false">ROUND(MAX($K94,$M94)+(MIN($K94,$M94)*VLOOKUP($E94,Role!$A$2:$O$9,14,0)),0)</f>
        <v>4</v>
      </c>
      <c r="Z94" s="2" t="n">
        <f aca="false">MAX(1,INT(((MIN($J94:$K94)+(MAX($J94:$K94)*$H94*VLOOKUP($E94,Role!$A$2:$O$9,15,0))))*VLOOKUP($G94,Movement!$A$2:$C$7,3,0)))</f>
        <v>33</v>
      </c>
      <c r="AB94" s="5" t="n">
        <f aca="false">INT(5+(($H94-1)/3))</f>
        <v>6</v>
      </c>
      <c r="AC94" s="5" t="n">
        <f aca="false">IF($AB94&lt;$J94,$J94-MAX($AB94,$B94),0)</f>
        <v>0</v>
      </c>
      <c r="AD94" s="5" t="n">
        <f aca="false">(5-ROUND(($H94-1)/3,0))</f>
        <v>4</v>
      </c>
      <c r="AE94" s="5" t="n">
        <f aca="false">IF($AD94&lt;$K94,$K94-MAX($AD94,$B94),0)</f>
        <v>0</v>
      </c>
      <c r="AG94" s="6" t="n">
        <f aca="false">VLOOKUP($F94,Category!$A$2:$AZ$20,24,0)</f>
        <v>0</v>
      </c>
      <c r="AH94" s="6" t="n">
        <f aca="false">VLOOKUP($F94,Category!$A$2:$AZ$20,26,0)</f>
        <v>0.333333333333333</v>
      </c>
      <c r="AI94" s="6" t="n">
        <f aca="false">VLOOKUP($E94,Role!$A$2:$O$9,10,0)</f>
        <v>0.75</v>
      </c>
      <c r="AJ94" s="6" t="n">
        <f aca="false">VLOOKUP($F94,Category!$A$2:$AZ$20,19,0)</f>
        <v>0.0909090909090909</v>
      </c>
      <c r="AK94" s="6" t="n">
        <f aca="false">VLOOKUP($F94,Category!$A$2:$AZ$20,21,0)</f>
        <v>0.545454545454545</v>
      </c>
      <c r="AL94" s="6" t="n">
        <f aca="false">1</f>
        <v>1</v>
      </c>
      <c r="AM94" s="6" t="n">
        <f aca="false">VLOOKUP($F94,Category!$A$2:$AZ$20,19,0)</f>
        <v>0.0909090909090909</v>
      </c>
      <c r="AN94" s="6" t="n">
        <f aca="false">VLOOKUP($F94,Category!$A$2:$AZ$20,21,0)</f>
        <v>0.545454545454545</v>
      </c>
      <c r="AO94" s="6" t="n">
        <f aca="false">VLOOKUP($E94,Role!$A$2:$O$9,10,0)</f>
        <v>0.75</v>
      </c>
      <c r="AP94" s="6" t="n">
        <f aca="false">VLOOKUP($F94,Category!$A$2:$AZ$20,9,0)</f>
        <v>0</v>
      </c>
      <c r="AQ94" s="6" t="n">
        <f aca="false">VLOOKUP($F94,Category!$A$2:$AZ$20,11,0)</f>
        <v>0.555555555555556</v>
      </c>
      <c r="AR94" s="6" t="n">
        <f aca="false">VLOOKUP($E94,Role!$A$2:$O$9,10,0)</f>
        <v>0.75</v>
      </c>
      <c r="AS94" s="6" t="n">
        <f aca="false">VLOOKUP($F94,Category!$A$2:$AZ$20,10,0)</f>
        <v>0.555555555555556</v>
      </c>
      <c r="AT94" s="7" t="n">
        <f aca="false">VLOOKUP($F94,Category!$A$2:$AZ$20,14,0)</f>
        <v>0.416666666666667</v>
      </c>
      <c r="AU94" s="7" t="n">
        <f aca="false">VLOOKUP($F94,Category!$A$2:$AZ$20,16,0)</f>
        <v>0.25</v>
      </c>
      <c r="AV94" s="7" t="n">
        <f aca="false">VLOOKUP($D94,Size!$A$2:$Z$13,17,0)</f>
        <v>2</v>
      </c>
      <c r="AW94" s="7" t="n">
        <f aca="false">VLOOKUP($F94,Category!$A$2:$AZ$20,29,0)</f>
        <v>0.333333333333333</v>
      </c>
      <c r="AX94" s="7" t="n">
        <f aca="false">VLOOKUP($F94,Category!$A$2:$AZ$20,31,0)</f>
        <v>0.333333333333333</v>
      </c>
      <c r="AY94" s="7" t="n">
        <f aca="false">VLOOKUP($D94,Size!$A$2:$Z$13,16,0)</f>
        <v>4</v>
      </c>
      <c r="AZ94" s="7" t="n">
        <f aca="false">VLOOKUP($E94,Role!$A$2:$O$9,11,0)</f>
        <v>0.75</v>
      </c>
      <c r="BB94" s="5" t="n">
        <f aca="false">VLOOKUP($D94,Size!$A$2:$Z$13,19,0)</f>
        <v>16</v>
      </c>
      <c r="BC94" s="5" t="n">
        <f aca="false">VLOOKUP($D94,Size!$A$2:$Z$13,20,0)</f>
        <v>6</v>
      </c>
      <c r="BD94" s="5" t="n">
        <f aca="false">VLOOKUP($E94,Role!$A$2:$O$9,13,0)</f>
        <v>0.75</v>
      </c>
      <c r="BE94" s="5" t="n">
        <f aca="false">VLOOKUP($C94,Type!$A$2:$B$4,2,0)</f>
        <v>1</v>
      </c>
    </row>
    <row r="95" customFormat="false" ht="12.8" hidden="false" customHeight="false" outlineLevel="0" collapsed="false">
      <c r="B95" s="2" t="n">
        <v>4</v>
      </c>
      <c r="C95" s="3" t="s">
        <v>51</v>
      </c>
      <c r="D95" s="1" t="s">
        <v>74</v>
      </c>
      <c r="E95" s="1" t="s">
        <v>66</v>
      </c>
      <c r="F95" s="1" t="s">
        <v>67</v>
      </c>
      <c r="G95" s="1" t="s">
        <v>79</v>
      </c>
      <c r="H95" s="4" t="n">
        <f aca="false">VLOOKUP($D95,Size!$A$2:$F$13,6,0)</f>
        <v>5</v>
      </c>
      <c r="J95" s="12" t="n">
        <f aca="false">INT(($B95*$AY95*$AW95*$AZ95)+($B95*$AX95))</f>
        <v>6</v>
      </c>
      <c r="K95" s="4" t="n">
        <f aca="false">ROUND((($B95*$AT95)+($AV95*$AU95)),0)</f>
        <v>2</v>
      </c>
      <c r="L95" s="4" t="n">
        <f aca="false">ROUND((($B95*$AP95)+($B95*$AQ95))*$AR95,0)</f>
        <v>2</v>
      </c>
      <c r="M95" s="4" t="n">
        <f aca="false">ROUND((($B95*$AM95)+($B95*$AN95))*$AO95,0)</f>
        <v>2</v>
      </c>
      <c r="N95" s="4" t="n">
        <f aca="false">ROUND((($B95*$AG95)+($B95*$AH95))*$AI95,0)</f>
        <v>1</v>
      </c>
      <c r="O95" s="4" t="n">
        <f aca="false">ROUND((($B95*$AJ95)+($B95*$AK95))*$AL95,0)</f>
        <v>3</v>
      </c>
      <c r="Q95" s="4" t="n">
        <f aca="false">INT(VLOOKUP($E95,Role!$A$2:$O$9,8,0)*$B95)</f>
        <v>3</v>
      </c>
      <c r="R95" s="4" t="n">
        <f aca="false">INT(VLOOKUP($E95,Role!$A$2:$O$9,9,0)*$B95)</f>
        <v>3</v>
      </c>
      <c r="S95" s="4" t="n">
        <f aca="false">INT(VLOOKUP($E95,Role!$A$2:$P$9,16,0)*$B95*$AS95)</f>
        <v>1</v>
      </c>
      <c r="T95" s="4" t="n">
        <f aca="false">INT(VLOOKUP($D95,Size!$A$2:$Z$13,18,0)*VLOOKUP($E95,Role!$A$2:$O$9,13,0)*$B95/2)</f>
        <v>46</v>
      </c>
      <c r="U95" s="4" t="n">
        <f aca="false">INT(($BB95*$BE95)+($J95*$BC95))</f>
        <v>66</v>
      </c>
      <c r="V95" s="4" t="n">
        <f aca="false">INT((10+$N95)*VLOOKUP($E95,Role!$A$2:$O$9,14,0))</f>
        <v>11</v>
      </c>
      <c r="W95" s="4" t="n">
        <f aca="false">INT($J95*VLOOKUP($E95,Role!$A$2:$O$9,12,0))</f>
        <v>4</v>
      </c>
      <c r="Y95" s="2" t="n">
        <f aca="false">ROUND(MAX($K95,$M95)+(MIN($K95,$M95)*VLOOKUP($E95,Role!$A$2:$O$9,14,0)),0)</f>
        <v>4</v>
      </c>
      <c r="Z95" s="2" t="n">
        <f aca="false">MAX(1,INT(((MIN($J95:$K95)+(MAX($J95:$K95)*$H95*VLOOKUP($E95,Role!$A$2:$O$9,15,0))))*VLOOKUP($G95,Movement!$A$2:$C$7,3,0)))</f>
        <v>48</v>
      </c>
      <c r="AB95" s="5" t="n">
        <f aca="false">INT(5+(($H95-1)/3))</f>
        <v>6</v>
      </c>
      <c r="AC95" s="5" t="n">
        <f aca="false">IF($AB95&lt;$J95,$J95-MAX($AB95,$B95),0)</f>
        <v>0</v>
      </c>
      <c r="AD95" s="5" t="n">
        <f aca="false">(5-ROUND(($H95-1)/3,0))</f>
        <v>4</v>
      </c>
      <c r="AE95" s="5" t="n">
        <f aca="false">IF($AD95&lt;$K95,$K95-MAX($AD95,$B95),0)</f>
        <v>0</v>
      </c>
      <c r="AG95" s="6" t="n">
        <f aca="false">VLOOKUP($F95,Category!$A$2:$AZ$20,24,0)</f>
        <v>0</v>
      </c>
      <c r="AH95" s="6" t="n">
        <f aca="false">VLOOKUP($F95,Category!$A$2:$AZ$20,26,0)</f>
        <v>0.333333333333333</v>
      </c>
      <c r="AI95" s="6" t="n">
        <f aca="false">VLOOKUP($E95,Role!$A$2:$O$9,10,0)</f>
        <v>0.75</v>
      </c>
      <c r="AJ95" s="6" t="n">
        <f aca="false">VLOOKUP($F95,Category!$A$2:$AZ$20,19,0)</f>
        <v>0.0909090909090909</v>
      </c>
      <c r="AK95" s="6" t="n">
        <f aca="false">VLOOKUP($F95,Category!$A$2:$AZ$20,21,0)</f>
        <v>0.545454545454545</v>
      </c>
      <c r="AL95" s="6" t="n">
        <f aca="false">1</f>
        <v>1</v>
      </c>
      <c r="AM95" s="6" t="n">
        <f aca="false">VLOOKUP($F95,Category!$A$2:$AZ$20,19,0)</f>
        <v>0.0909090909090909</v>
      </c>
      <c r="AN95" s="6" t="n">
        <f aca="false">VLOOKUP($F95,Category!$A$2:$AZ$20,21,0)</f>
        <v>0.545454545454545</v>
      </c>
      <c r="AO95" s="6" t="n">
        <f aca="false">VLOOKUP($E95,Role!$A$2:$O$9,10,0)</f>
        <v>0.75</v>
      </c>
      <c r="AP95" s="6" t="n">
        <f aca="false">VLOOKUP($F95,Category!$A$2:$AZ$20,9,0)</f>
        <v>0</v>
      </c>
      <c r="AQ95" s="6" t="n">
        <f aca="false">VLOOKUP($F95,Category!$A$2:$AZ$20,11,0)</f>
        <v>0.555555555555556</v>
      </c>
      <c r="AR95" s="6" t="n">
        <f aca="false">VLOOKUP($E95,Role!$A$2:$O$9,10,0)</f>
        <v>0.75</v>
      </c>
      <c r="AS95" s="6" t="n">
        <f aca="false">VLOOKUP($F95,Category!$A$2:$AZ$20,10,0)</f>
        <v>0.555555555555556</v>
      </c>
      <c r="AT95" s="7" t="n">
        <f aca="false">VLOOKUP($F95,Category!$A$2:$AZ$20,14,0)</f>
        <v>0.416666666666667</v>
      </c>
      <c r="AU95" s="7" t="n">
        <f aca="false">VLOOKUP($F95,Category!$A$2:$AZ$20,16,0)</f>
        <v>0.25</v>
      </c>
      <c r="AV95" s="7" t="n">
        <f aca="false">VLOOKUP($D95,Size!$A$2:$Z$13,17,0)</f>
        <v>2</v>
      </c>
      <c r="AW95" s="7" t="n">
        <f aca="false">VLOOKUP($F95,Category!$A$2:$AZ$20,29,0)</f>
        <v>0.333333333333333</v>
      </c>
      <c r="AX95" s="7" t="n">
        <f aca="false">VLOOKUP($F95,Category!$A$2:$AZ$20,31,0)</f>
        <v>0.333333333333333</v>
      </c>
      <c r="AY95" s="7" t="n">
        <f aca="false">VLOOKUP($D95,Size!$A$2:$Z$13,16,0)</f>
        <v>5</v>
      </c>
      <c r="AZ95" s="7" t="n">
        <f aca="false">VLOOKUP($E95,Role!$A$2:$O$9,11,0)</f>
        <v>0.75</v>
      </c>
      <c r="BB95" s="5" t="n">
        <f aca="false">VLOOKUP($D95,Size!$A$2:$Z$13,19,0)</f>
        <v>18</v>
      </c>
      <c r="BC95" s="5" t="n">
        <f aca="false">VLOOKUP($D95,Size!$A$2:$Z$13,20,0)</f>
        <v>8</v>
      </c>
      <c r="BD95" s="5" t="n">
        <f aca="false">VLOOKUP($E95,Role!$A$2:$O$9,13,0)</f>
        <v>0.75</v>
      </c>
      <c r="BE95" s="5" t="n">
        <f aca="false">VLOOKUP($C95,Type!$A$2:$B$4,2,0)</f>
        <v>1</v>
      </c>
    </row>
    <row r="96" customFormat="false" ht="12.8" hidden="false" customHeight="false" outlineLevel="0" collapsed="false">
      <c r="B96" s="2" t="n">
        <v>4</v>
      </c>
      <c r="C96" s="3" t="s">
        <v>51</v>
      </c>
      <c r="D96" s="1" t="s">
        <v>75</v>
      </c>
      <c r="E96" s="1" t="s">
        <v>66</v>
      </c>
      <c r="F96" s="1" t="s">
        <v>67</v>
      </c>
      <c r="G96" s="1" t="s">
        <v>79</v>
      </c>
      <c r="H96" s="4" t="n">
        <f aca="false">VLOOKUP($D96,Size!$A$2:$F$13,6,0)</f>
        <v>6</v>
      </c>
      <c r="J96" s="12" t="n">
        <f aca="false">INT(($B96*$AY96*$AW96*$AZ96)+($B96*$AX96))</f>
        <v>6</v>
      </c>
      <c r="K96" s="4" t="n">
        <f aca="false">ROUND((($B96*$AT96)+($AV96*$AU96)),0)</f>
        <v>2</v>
      </c>
      <c r="L96" s="4" t="n">
        <f aca="false">ROUND((($B96*$AP96)+($B96*$AQ96))*$AR96,0)</f>
        <v>2</v>
      </c>
      <c r="M96" s="4" t="n">
        <f aca="false">ROUND((($B96*$AM96)+($B96*$AN96))*$AO96,0)</f>
        <v>2</v>
      </c>
      <c r="N96" s="4" t="n">
        <f aca="false">ROUND((($B96*$AG96)+($B96*$AH96))*$AI96,0)</f>
        <v>1</v>
      </c>
      <c r="O96" s="4" t="n">
        <f aca="false">ROUND((($B96*$AJ96)+($B96*$AK96))*$AL96,0)</f>
        <v>3</v>
      </c>
      <c r="Q96" s="4" t="n">
        <f aca="false">INT(VLOOKUP($E96,Role!$A$2:$O$9,8,0)*$B96)</f>
        <v>3</v>
      </c>
      <c r="R96" s="4" t="n">
        <f aca="false">INT(VLOOKUP($E96,Role!$A$2:$O$9,9,0)*$B96)</f>
        <v>3</v>
      </c>
      <c r="S96" s="4" t="n">
        <f aca="false">INT(VLOOKUP($E96,Role!$A$2:$P$9,16,0)*$B96*$AS96)</f>
        <v>1</v>
      </c>
      <c r="T96" s="4" t="n">
        <f aca="false">INT(VLOOKUP($D96,Size!$A$2:$Z$13,18,0)*VLOOKUP($E96,Role!$A$2:$O$9,13,0)*$B96/2)</f>
        <v>58</v>
      </c>
      <c r="U96" s="4" t="n">
        <f aca="false">INT(($BB96*$BE96)+($J96*$BC96))</f>
        <v>80</v>
      </c>
      <c r="V96" s="4" t="n">
        <f aca="false">INT((10+$N96)*VLOOKUP($E96,Role!$A$2:$O$9,14,0))</f>
        <v>11</v>
      </c>
      <c r="W96" s="4" t="n">
        <f aca="false">INT($J96*VLOOKUP($E96,Role!$A$2:$O$9,12,0))</f>
        <v>4</v>
      </c>
      <c r="Y96" s="2" t="n">
        <f aca="false">ROUND(MAX($K96,$M96)+(MIN($K96,$M96)*VLOOKUP($E96,Role!$A$2:$O$9,14,0)),0)</f>
        <v>4</v>
      </c>
      <c r="Z96" s="2" t="n">
        <f aca="false">MAX(1,INT(((MIN($J96:$K96)+(MAX($J96:$K96)*$H96*VLOOKUP($E96,Role!$A$2:$O$9,15,0))))*VLOOKUP($G96,Movement!$A$2:$C$7,3,0)))</f>
        <v>57</v>
      </c>
      <c r="AB96" s="5" t="n">
        <f aca="false">INT(5+(($H96-1)/3))</f>
        <v>6</v>
      </c>
      <c r="AC96" s="5" t="n">
        <f aca="false">IF($AB96&lt;$J96,$J96-MAX($AB96,$B96),0)</f>
        <v>0</v>
      </c>
      <c r="AD96" s="5" t="n">
        <f aca="false">(5-ROUND(($H96-1)/3,0))</f>
        <v>3</v>
      </c>
      <c r="AE96" s="5" t="n">
        <f aca="false">IF($AD96&lt;$K96,$K96-MAX($AD96,$B96),0)</f>
        <v>0</v>
      </c>
      <c r="AG96" s="6" t="n">
        <f aca="false">VLOOKUP($F96,Category!$A$2:$AZ$20,24,0)</f>
        <v>0</v>
      </c>
      <c r="AH96" s="6" t="n">
        <f aca="false">VLOOKUP($F96,Category!$A$2:$AZ$20,26,0)</f>
        <v>0.333333333333333</v>
      </c>
      <c r="AI96" s="6" t="n">
        <f aca="false">VLOOKUP($E96,Role!$A$2:$O$9,10,0)</f>
        <v>0.75</v>
      </c>
      <c r="AJ96" s="6" t="n">
        <f aca="false">VLOOKUP($F96,Category!$A$2:$AZ$20,19,0)</f>
        <v>0.0909090909090909</v>
      </c>
      <c r="AK96" s="6" t="n">
        <f aca="false">VLOOKUP($F96,Category!$A$2:$AZ$20,21,0)</f>
        <v>0.545454545454545</v>
      </c>
      <c r="AL96" s="6" t="n">
        <f aca="false">1</f>
        <v>1</v>
      </c>
      <c r="AM96" s="6" t="n">
        <f aca="false">VLOOKUP($F96,Category!$A$2:$AZ$20,19,0)</f>
        <v>0.0909090909090909</v>
      </c>
      <c r="AN96" s="6" t="n">
        <f aca="false">VLOOKUP($F96,Category!$A$2:$AZ$20,21,0)</f>
        <v>0.545454545454545</v>
      </c>
      <c r="AO96" s="6" t="n">
        <f aca="false">VLOOKUP($E96,Role!$A$2:$O$9,10,0)</f>
        <v>0.75</v>
      </c>
      <c r="AP96" s="6" t="n">
        <f aca="false">VLOOKUP($F96,Category!$A$2:$AZ$20,9,0)</f>
        <v>0</v>
      </c>
      <c r="AQ96" s="6" t="n">
        <f aca="false">VLOOKUP($F96,Category!$A$2:$AZ$20,11,0)</f>
        <v>0.555555555555556</v>
      </c>
      <c r="AR96" s="6" t="n">
        <f aca="false">VLOOKUP($E96,Role!$A$2:$O$9,10,0)</f>
        <v>0.75</v>
      </c>
      <c r="AS96" s="6" t="n">
        <f aca="false">VLOOKUP($F96,Category!$A$2:$AZ$20,10,0)</f>
        <v>0.555555555555556</v>
      </c>
      <c r="AT96" s="7" t="n">
        <f aca="false">VLOOKUP($F96,Category!$A$2:$AZ$20,14,0)</f>
        <v>0.416666666666667</v>
      </c>
      <c r="AU96" s="7" t="n">
        <f aca="false">VLOOKUP($F96,Category!$A$2:$AZ$20,16,0)</f>
        <v>0.25</v>
      </c>
      <c r="AV96" s="7" t="n">
        <f aca="false">VLOOKUP($D96,Size!$A$2:$Z$13,17,0)</f>
        <v>2</v>
      </c>
      <c r="AW96" s="7" t="n">
        <f aca="false">VLOOKUP($F96,Category!$A$2:$AZ$20,29,0)</f>
        <v>0.333333333333333</v>
      </c>
      <c r="AX96" s="7" t="n">
        <f aca="false">VLOOKUP($F96,Category!$A$2:$AZ$20,31,0)</f>
        <v>0.333333333333333</v>
      </c>
      <c r="AY96" s="7" t="n">
        <f aca="false">VLOOKUP($D96,Size!$A$2:$Z$13,16,0)</f>
        <v>5</v>
      </c>
      <c r="AZ96" s="7" t="n">
        <f aca="false">VLOOKUP($E96,Role!$A$2:$O$9,11,0)</f>
        <v>0.75</v>
      </c>
      <c r="BB96" s="5" t="n">
        <f aca="false">VLOOKUP($D96,Size!$A$2:$Z$13,19,0)</f>
        <v>20</v>
      </c>
      <c r="BC96" s="5" t="n">
        <f aca="false">VLOOKUP($D96,Size!$A$2:$Z$13,20,0)</f>
        <v>10</v>
      </c>
      <c r="BD96" s="5" t="n">
        <f aca="false">VLOOKUP($E96,Role!$A$2:$O$9,13,0)</f>
        <v>0.75</v>
      </c>
      <c r="BE96" s="5" t="n">
        <f aca="false">VLOOKUP($C96,Type!$A$2:$B$4,2,0)</f>
        <v>1</v>
      </c>
    </row>
    <row r="97" customFormat="false" ht="12.8" hidden="false" customHeight="false" outlineLevel="0" collapsed="false">
      <c r="B97" s="2" t="n">
        <v>4</v>
      </c>
      <c r="C97" s="3" t="s">
        <v>51</v>
      </c>
      <c r="D97" s="1" t="s">
        <v>76</v>
      </c>
      <c r="E97" s="1" t="s">
        <v>66</v>
      </c>
      <c r="F97" s="1" t="s">
        <v>67</v>
      </c>
      <c r="G97" s="1" t="s">
        <v>79</v>
      </c>
      <c r="H97" s="4" t="n">
        <f aca="false">VLOOKUP($D97,Size!$A$2:$F$13,6,0)</f>
        <v>7</v>
      </c>
      <c r="J97" s="12" t="n">
        <f aca="false">INT(($B97*$AY97*$AW97*$AZ97)+($B97*$AX97))</f>
        <v>6</v>
      </c>
      <c r="K97" s="4" t="n">
        <f aca="false">ROUND((($B97*$AT97)+($AV97*$AU97)),0)</f>
        <v>2</v>
      </c>
      <c r="L97" s="4" t="n">
        <f aca="false">ROUND((($B97*$AP97)+($B97*$AQ97))*$AR97,0)</f>
        <v>2</v>
      </c>
      <c r="M97" s="4" t="n">
        <f aca="false">ROUND((($B97*$AM97)+($B97*$AN97))*$AO97,0)</f>
        <v>2</v>
      </c>
      <c r="N97" s="4" t="n">
        <f aca="false">ROUND((($B97*$AG97)+($B97*$AH97))*$AI97,0)</f>
        <v>1</v>
      </c>
      <c r="O97" s="4" t="n">
        <f aca="false">ROUND((($B97*$AJ97)+($B97*$AK97))*$AL97,0)</f>
        <v>3</v>
      </c>
      <c r="Q97" s="4" t="n">
        <f aca="false">INT(VLOOKUP($E97,Role!$A$2:$O$9,8,0)*$B97)</f>
        <v>3</v>
      </c>
      <c r="R97" s="4" t="n">
        <f aca="false">INT(VLOOKUP($E97,Role!$A$2:$O$9,9,0)*$B97)</f>
        <v>3</v>
      </c>
      <c r="S97" s="4" t="n">
        <f aca="false">INT(VLOOKUP($E97,Role!$A$2:$P$9,16,0)*$B97*$AS97)</f>
        <v>1</v>
      </c>
      <c r="T97" s="4" t="n">
        <f aca="false">INT(VLOOKUP($D97,Size!$A$2:$Z$13,18,0)*VLOOKUP($E97,Role!$A$2:$O$9,13,0)*$B97/2)</f>
        <v>69</v>
      </c>
      <c r="U97" s="4" t="n">
        <f aca="false">INT(($BB97*$BE97)+($J97*$BC97))</f>
        <v>94</v>
      </c>
      <c r="V97" s="4" t="n">
        <f aca="false">INT((10+$N97)*VLOOKUP($E97,Role!$A$2:$O$9,14,0))</f>
        <v>11</v>
      </c>
      <c r="W97" s="4" t="n">
        <f aca="false">INT($J97*VLOOKUP($E97,Role!$A$2:$O$9,12,0))</f>
        <v>4</v>
      </c>
      <c r="Y97" s="2" t="n">
        <f aca="false">ROUND(MAX($K97,$M97)+(MIN($K97,$M97)*VLOOKUP($E97,Role!$A$2:$O$9,14,0)),0)</f>
        <v>4</v>
      </c>
      <c r="Z97" s="2" t="n">
        <f aca="false">MAX(1,INT(((MIN($J97:$K97)+(MAX($J97:$K97)*$H97*VLOOKUP($E97,Role!$A$2:$O$9,15,0))))*VLOOKUP($G97,Movement!$A$2:$C$7,3,0)))</f>
        <v>66</v>
      </c>
      <c r="AB97" s="5" t="n">
        <f aca="false">INT(5+(($H97-1)/3))</f>
        <v>7</v>
      </c>
      <c r="AC97" s="5" t="n">
        <f aca="false">IF($AB97&lt;$J97,$J97-MAX($AB97,$B97),0)</f>
        <v>0</v>
      </c>
      <c r="AD97" s="5" t="n">
        <f aca="false">(5-ROUND(($H97-1)/3,0))</f>
        <v>3</v>
      </c>
      <c r="AE97" s="5" t="n">
        <f aca="false">IF($AD97&lt;$K97,$K97-MAX($AD97,$B97),0)</f>
        <v>0</v>
      </c>
      <c r="AG97" s="6" t="n">
        <f aca="false">VLOOKUP($F97,Category!$A$2:$AZ$20,24,0)</f>
        <v>0</v>
      </c>
      <c r="AH97" s="6" t="n">
        <f aca="false">VLOOKUP($F97,Category!$A$2:$AZ$20,26,0)</f>
        <v>0.333333333333333</v>
      </c>
      <c r="AI97" s="6" t="n">
        <f aca="false">VLOOKUP($E97,Role!$A$2:$O$9,10,0)</f>
        <v>0.75</v>
      </c>
      <c r="AJ97" s="6" t="n">
        <f aca="false">VLOOKUP($F97,Category!$A$2:$AZ$20,19,0)</f>
        <v>0.0909090909090909</v>
      </c>
      <c r="AK97" s="6" t="n">
        <f aca="false">VLOOKUP($F97,Category!$A$2:$AZ$20,21,0)</f>
        <v>0.545454545454545</v>
      </c>
      <c r="AL97" s="6" t="n">
        <f aca="false">1</f>
        <v>1</v>
      </c>
      <c r="AM97" s="6" t="n">
        <f aca="false">VLOOKUP($F97,Category!$A$2:$AZ$20,19,0)</f>
        <v>0.0909090909090909</v>
      </c>
      <c r="AN97" s="6" t="n">
        <f aca="false">VLOOKUP($F97,Category!$A$2:$AZ$20,21,0)</f>
        <v>0.545454545454545</v>
      </c>
      <c r="AO97" s="6" t="n">
        <f aca="false">VLOOKUP($E97,Role!$A$2:$O$9,10,0)</f>
        <v>0.75</v>
      </c>
      <c r="AP97" s="6" t="n">
        <f aca="false">VLOOKUP($F97,Category!$A$2:$AZ$20,9,0)</f>
        <v>0</v>
      </c>
      <c r="AQ97" s="6" t="n">
        <f aca="false">VLOOKUP($F97,Category!$A$2:$AZ$20,11,0)</f>
        <v>0.555555555555556</v>
      </c>
      <c r="AR97" s="6" t="n">
        <f aca="false">VLOOKUP($E97,Role!$A$2:$O$9,10,0)</f>
        <v>0.75</v>
      </c>
      <c r="AS97" s="6" t="n">
        <f aca="false">VLOOKUP($F97,Category!$A$2:$AZ$20,10,0)</f>
        <v>0.555555555555556</v>
      </c>
      <c r="AT97" s="7" t="n">
        <f aca="false">VLOOKUP($F97,Category!$A$2:$AZ$20,14,0)</f>
        <v>0.416666666666667</v>
      </c>
      <c r="AU97" s="7" t="n">
        <f aca="false">VLOOKUP($F97,Category!$A$2:$AZ$20,16,0)</f>
        <v>0.25</v>
      </c>
      <c r="AV97" s="7" t="n">
        <f aca="false">VLOOKUP($D97,Size!$A$2:$Z$13,17,0)</f>
        <v>2</v>
      </c>
      <c r="AW97" s="7" t="n">
        <f aca="false">VLOOKUP($F97,Category!$A$2:$AZ$20,29,0)</f>
        <v>0.333333333333333</v>
      </c>
      <c r="AX97" s="7" t="n">
        <f aca="false">VLOOKUP($F97,Category!$A$2:$AZ$20,31,0)</f>
        <v>0.333333333333333</v>
      </c>
      <c r="AY97" s="7" t="n">
        <f aca="false">VLOOKUP($D97,Size!$A$2:$Z$13,16,0)</f>
        <v>5</v>
      </c>
      <c r="AZ97" s="7" t="n">
        <f aca="false">VLOOKUP($E97,Role!$A$2:$O$9,11,0)</f>
        <v>0.75</v>
      </c>
      <c r="BB97" s="5" t="n">
        <f aca="false">VLOOKUP($D97,Size!$A$2:$Z$13,19,0)</f>
        <v>22</v>
      </c>
      <c r="BC97" s="5" t="n">
        <f aca="false">VLOOKUP($D97,Size!$A$2:$Z$13,20,0)</f>
        <v>12</v>
      </c>
      <c r="BD97" s="5" t="n">
        <f aca="false">VLOOKUP($E97,Role!$A$2:$O$9,13,0)</f>
        <v>0.75</v>
      </c>
      <c r="BE97" s="5" t="n">
        <f aca="false">VLOOKUP($C97,Type!$A$2:$B$4,2,0)</f>
        <v>1</v>
      </c>
    </row>
    <row r="98" customFormat="false" ht="12.8" hidden="false" customHeight="false" outlineLevel="0" collapsed="false">
      <c r="C98" s="3" t="s">
        <v>51</v>
      </c>
      <c r="J98" s="12" t="e">
        <f aca="false">INT(($B98*$AY98*$AW98*$AZ98)+($B98*$AX98))</f>
        <v>#N/A</v>
      </c>
      <c r="K98" s="4" t="e">
        <f aca="false">ROUND((($B98*$AT98)+($AV98*$AU98)),0)</f>
        <v>#N/A</v>
      </c>
      <c r="L98" s="4" t="e">
        <f aca="false">ROUND((($B98*$AP98)+($B98*$AQ98))*$AR98,0)</f>
        <v>#N/A</v>
      </c>
      <c r="M98" s="4" t="e">
        <f aca="false">ROUND((($B98*$AM98)+($B98*$AN98))*$AO98,0)</f>
        <v>#N/A</v>
      </c>
      <c r="N98" s="4" t="e">
        <f aca="false">ROUND((($B98*$AG98)+($B98*$AH98))*$AI98,0)</f>
        <v>#N/A</v>
      </c>
      <c r="O98" s="4" t="e">
        <f aca="false">ROUND((($B98*$AJ98)+($B98*$AK98))*$AL98,0)</f>
        <v>#N/A</v>
      </c>
      <c r="S98" s="4" t="e">
        <f aca="false">INT(VLOOKUP($E98,Role!$A$2:$P$9,16,0)*$B98*$AS98)</f>
        <v>#N/A</v>
      </c>
      <c r="U98" s="4" t="e">
        <f aca="false">INT(($BB98*$BE98)+($J98*$BC98))</f>
        <v>#N/A</v>
      </c>
      <c r="AC98" s="5" t="e">
        <f aca="false">IF($AB98&lt;$J98,$J98-MAX($AB98,$B98),0)</f>
        <v>#N/A</v>
      </c>
      <c r="AE98" s="5" t="e">
        <f aca="false">IF($AD98&lt;$K98,$K98-MAX($AD98,$B98),0)</f>
        <v>#N/A</v>
      </c>
      <c r="AG98" s="6" t="e">
        <f aca="false">VLOOKUP($F98,Category!$A$2:$AZ$20,24,0)</f>
        <v>#N/A</v>
      </c>
      <c r="AH98" s="6" t="e">
        <f aca="false">VLOOKUP($F98,Category!$A$2:$AZ$20,26,0)</f>
        <v>#N/A</v>
      </c>
      <c r="AI98" s="6" t="e">
        <f aca="false">VLOOKUP($E98,Role!$A$2:$O$9,10,0)</f>
        <v>#N/A</v>
      </c>
      <c r="AJ98" s="6" t="e">
        <f aca="false">VLOOKUP($F98,Category!$A$2:$AZ$20,19,0)</f>
        <v>#N/A</v>
      </c>
      <c r="AK98" s="6" t="e">
        <f aca="false">VLOOKUP($F98,Category!$A$2:$AZ$20,21,0)</f>
        <v>#N/A</v>
      </c>
      <c r="AL98" s="6" t="n">
        <f aca="false">1</f>
        <v>1</v>
      </c>
      <c r="AM98" s="6" t="e">
        <f aca="false">VLOOKUP($F98,Category!$A$2:$AZ$20,19,0)</f>
        <v>#N/A</v>
      </c>
      <c r="AN98" s="6" t="e">
        <f aca="false">VLOOKUP($F98,Category!$A$2:$AZ$20,21,0)</f>
        <v>#N/A</v>
      </c>
      <c r="AO98" s="6" t="e">
        <f aca="false">VLOOKUP($E98,Role!$A$2:$O$9,10,0)</f>
        <v>#N/A</v>
      </c>
      <c r="AP98" s="6" t="e">
        <f aca="false">VLOOKUP($F98,Category!$A$2:$AZ$20,9,0)</f>
        <v>#N/A</v>
      </c>
      <c r="AQ98" s="6" t="e">
        <f aca="false">VLOOKUP($F98,Category!$A$2:$AZ$20,11,0)</f>
        <v>#N/A</v>
      </c>
      <c r="AR98" s="6" t="e">
        <f aca="false">VLOOKUP($E98,Role!$A$2:$O$9,10,0)</f>
        <v>#N/A</v>
      </c>
      <c r="AS98" s="6" t="e">
        <f aca="false">VLOOKUP($F98,Category!$A$2:$AZ$20,10,0)</f>
        <v>#N/A</v>
      </c>
      <c r="AT98" s="7" t="e">
        <f aca="false">VLOOKUP($F98,Category!$A$2:$AZ$20,14,0)</f>
        <v>#N/A</v>
      </c>
      <c r="AU98" s="7" t="e">
        <f aca="false">VLOOKUP($F98,Category!$A$2:$AZ$20,16,0)</f>
        <v>#N/A</v>
      </c>
      <c r="AV98" s="7" t="e">
        <f aca="false">VLOOKUP($D98,Size!$A$2:$Z$13,17,0)</f>
        <v>#N/A</v>
      </c>
      <c r="AW98" s="7" t="e">
        <f aca="false">VLOOKUP($F98,Category!$A$2:$AZ$20,29,0)</f>
        <v>#N/A</v>
      </c>
      <c r="AX98" s="7" t="e">
        <f aca="false">VLOOKUP($F98,Category!$A$2:$AZ$20,31,0)</f>
        <v>#N/A</v>
      </c>
      <c r="AY98" s="7" t="e">
        <f aca="false">VLOOKUP($D98,Size!$A$2:$Z$13,16,0)</f>
        <v>#N/A</v>
      </c>
      <c r="AZ98" s="7" t="e">
        <f aca="false">VLOOKUP($E98,Role!$A$2:$O$9,11,0)</f>
        <v>#N/A</v>
      </c>
      <c r="BB98" s="5" t="e">
        <f aca="false">VLOOKUP($D98,Size!$A$2:$Z$13,19,0)</f>
        <v>#N/A</v>
      </c>
      <c r="BC98" s="5" t="e">
        <f aca="false">VLOOKUP($D98,Size!$A$2:$Z$13,20,0)</f>
        <v>#N/A</v>
      </c>
      <c r="BD98" s="5" t="e">
        <f aca="false">VLOOKUP($E98,Role!$A$2:$O$9,13,0)</f>
        <v>#N/A</v>
      </c>
      <c r="BE98" s="5" t="n">
        <f aca="false">VLOOKUP($C98,Type!$A$2:$B$4,2,0)</f>
        <v>1</v>
      </c>
    </row>
    <row r="99" customFormat="false" ht="12.8" hidden="false" customHeight="false" outlineLevel="0" collapsed="false">
      <c r="B99" s="2" t="n">
        <v>5</v>
      </c>
      <c r="C99" s="3" t="s">
        <v>51</v>
      </c>
      <c r="D99" s="1" t="s">
        <v>65</v>
      </c>
      <c r="E99" s="1" t="s">
        <v>66</v>
      </c>
      <c r="F99" s="1" t="s">
        <v>67</v>
      </c>
      <c r="G99" s="1" t="s">
        <v>79</v>
      </c>
      <c r="H99" s="4" t="n">
        <f aca="false">VLOOKUP($D99,Size!$A$2:$F$13,6,0)</f>
        <v>-3</v>
      </c>
      <c r="J99" s="12" t="n">
        <f aca="false">INT(($B99*$AY99*$AW99*$AZ99)+($B99*$AX99))</f>
        <v>2</v>
      </c>
      <c r="K99" s="4" t="n">
        <f aca="false">ROUND((($B99*$AT99)+($AV99*$AU99)),0)</f>
        <v>3</v>
      </c>
      <c r="L99" s="4" t="n">
        <f aca="false">ROUND((($B99*$AP99)+($B99*$AQ99))*$AR99,0)</f>
        <v>2</v>
      </c>
      <c r="M99" s="4" t="n">
        <f aca="false">ROUND((($B99*$AM99)+($B99*$AN99))*$AO99,0)</f>
        <v>2</v>
      </c>
      <c r="N99" s="4" t="n">
        <f aca="false">ROUND((($B99*$AG99)+($B99*$AH99))*$AI99,0)</f>
        <v>1</v>
      </c>
      <c r="O99" s="4" t="n">
        <f aca="false">ROUND((($B99*$AJ99)+($B99*$AK99))*$AL99,0)</f>
        <v>3</v>
      </c>
      <c r="Q99" s="4" t="n">
        <f aca="false">INT(VLOOKUP($E99,Role!$A$2:$O$9,8,0)*$B99)</f>
        <v>3</v>
      </c>
      <c r="R99" s="4" t="n">
        <f aca="false">INT(VLOOKUP($E99,Role!$A$2:$O$9,9,0)*$B99)</f>
        <v>3</v>
      </c>
      <c r="S99" s="4" t="n">
        <f aca="false">INT(VLOOKUP($E99,Role!$A$2:$P$9,16,0)*$B99*$AS99)</f>
        <v>1</v>
      </c>
      <c r="T99" s="4" t="n">
        <f aca="false">INT(VLOOKUP($D99,Size!$A$2:$Z$13,18,0)*VLOOKUP($E99,Role!$A$2:$O$9,13,0)*$B99/2)</f>
        <v>5</v>
      </c>
      <c r="U99" s="4" t="n">
        <f aca="false">INT(($BB99*$BE99)+($J99*$BC99))</f>
        <v>6</v>
      </c>
      <c r="V99" s="4" t="n">
        <f aca="false">INT((10+$N99)*VLOOKUP($E99,Role!$A$2:$O$9,14,0))</f>
        <v>11</v>
      </c>
      <c r="W99" s="4" t="n">
        <f aca="false">INT($J99*VLOOKUP($E99,Role!$A$2:$O$9,12,0))</f>
        <v>1</v>
      </c>
      <c r="Y99" s="2" t="n">
        <f aca="false">ROUND(MAX($K99,$M99)+(MIN($K99,$M99)*VLOOKUP($E99,Role!$A$2:$O$9,14,0)),0)</f>
        <v>5</v>
      </c>
      <c r="Z99" s="2" t="n">
        <f aca="false">MAX(1,INT(((MIN($J99:$K99)+(MAX($J99:$K99)*$H99*VLOOKUP($E99,Role!$A$2:$O$9,15,0))))*VLOOKUP($G99,Movement!$A$2:$C$7,3,0)))</f>
        <v>1</v>
      </c>
      <c r="AB99" s="5" t="n">
        <f aca="false">INT(5+(($H99-1)/3))</f>
        <v>3</v>
      </c>
      <c r="AC99" s="5" t="n">
        <f aca="false">IF($AB99&lt;$J99,$J99-MAX($AB99,$B99),0)</f>
        <v>0</v>
      </c>
      <c r="AD99" s="5" t="n">
        <f aca="false">(5-ROUND(($H99-1)/3,0))</f>
        <v>6</v>
      </c>
      <c r="AE99" s="5" t="n">
        <f aca="false">IF($AD99&lt;$K99,$K99-MAX($AD99,$B99),0)</f>
        <v>0</v>
      </c>
      <c r="AG99" s="6" t="n">
        <f aca="false">VLOOKUP($F99,Category!$A$2:$AZ$20,24,0)</f>
        <v>0</v>
      </c>
      <c r="AH99" s="6" t="n">
        <f aca="false">VLOOKUP($F99,Category!$A$2:$AZ$20,26,0)</f>
        <v>0.333333333333333</v>
      </c>
      <c r="AI99" s="6" t="n">
        <f aca="false">VLOOKUP($E99,Role!$A$2:$O$9,10,0)</f>
        <v>0.75</v>
      </c>
      <c r="AJ99" s="6" t="n">
        <f aca="false">VLOOKUP($F99,Category!$A$2:$AZ$20,19,0)</f>
        <v>0.0909090909090909</v>
      </c>
      <c r="AK99" s="6" t="n">
        <f aca="false">VLOOKUP($F99,Category!$A$2:$AZ$20,21,0)</f>
        <v>0.545454545454545</v>
      </c>
      <c r="AL99" s="6" t="n">
        <f aca="false">1</f>
        <v>1</v>
      </c>
      <c r="AM99" s="6" t="n">
        <f aca="false">VLOOKUP($F99,Category!$A$2:$AZ$20,19,0)</f>
        <v>0.0909090909090909</v>
      </c>
      <c r="AN99" s="6" t="n">
        <f aca="false">VLOOKUP($F99,Category!$A$2:$AZ$20,21,0)</f>
        <v>0.545454545454545</v>
      </c>
      <c r="AO99" s="6" t="n">
        <f aca="false">VLOOKUP($E99,Role!$A$2:$O$9,10,0)</f>
        <v>0.75</v>
      </c>
      <c r="AP99" s="6" t="n">
        <f aca="false">VLOOKUP($F99,Category!$A$2:$AZ$20,9,0)</f>
        <v>0</v>
      </c>
      <c r="AQ99" s="6" t="n">
        <f aca="false">VLOOKUP($F99,Category!$A$2:$AZ$20,11,0)</f>
        <v>0.555555555555556</v>
      </c>
      <c r="AR99" s="6" t="n">
        <f aca="false">VLOOKUP($E99,Role!$A$2:$O$9,10,0)</f>
        <v>0.75</v>
      </c>
      <c r="AS99" s="6" t="n">
        <f aca="false">VLOOKUP($F99,Category!$A$2:$AZ$20,10,0)</f>
        <v>0.555555555555556</v>
      </c>
      <c r="AT99" s="7" t="n">
        <f aca="false">VLOOKUP($F99,Category!$A$2:$AZ$20,14,0)</f>
        <v>0.416666666666667</v>
      </c>
      <c r="AU99" s="7" t="n">
        <f aca="false">VLOOKUP($F99,Category!$A$2:$AZ$20,16,0)</f>
        <v>0.25</v>
      </c>
      <c r="AV99" s="7" t="n">
        <f aca="false">VLOOKUP($D99,Size!$A$2:$Z$13,17,0)</f>
        <v>4</v>
      </c>
      <c r="AW99" s="7" t="n">
        <f aca="false">VLOOKUP($F99,Category!$A$2:$AZ$20,29,0)</f>
        <v>0.333333333333333</v>
      </c>
      <c r="AX99" s="7" t="n">
        <f aca="false">VLOOKUP($F99,Category!$A$2:$AZ$20,31,0)</f>
        <v>0.333333333333333</v>
      </c>
      <c r="AY99" s="7" t="n">
        <f aca="false">VLOOKUP($D99,Size!$A$2:$Z$13,16,0)</f>
        <v>1</v>
      </c>
      <c r="AZ99" s="7" t="n">
        <f aca="false">VLOOKUP($E99,Role!$A$2:$O$9,11,0)</f>
        <v>0.75</v>
      </c>
      <c r="BB99" s="5" t="n">
        <f aca="false">VLOOKUP($D99,Size!$A$2:$Z$13,19,0)</f>
        <v>6</v>
      </c>
      <c r="BC99" s="5" t="n">
        <f aca="false">VLOOKUP($D99,Size!$A$2:$Z$13,20,0)</f>
        <v>0.33</v>
      </c>
      <c r="BD99" s="5" t="n">
        <f aca="false">VLOOKUP($E99,Role!$A$2:$O$9,13,0)</f>
        <v>0.75</v>
      </c>
      <c r="BE99" s="5" t="n">
        <f aca="false">VLOOKUP($C99,Type!$A$2:$B$4,2,0)</f>
        <v>1</v>
      </c>
    </row>
    <row r="100" customFormat="false" ht="12.8" hidden="false" customHeight="false" outlineLevel="0" collapsed="false">
      <c r="B100" s="2" t="n">
        <v>5</v>
      </c>
      <c r="C100" s="3" t="s">
        <v>51</v>
      </c>
      <c r="D100" s="1" t="s">
        <v>68</v>
      </c>
      <c r="E100" s="1" t="s">
        <v>66</v>
      </c>
      <c r="F100" s="1" t="s">
        <v>67</v>
      </c>
      <c r="G100" s="1" t="s">
        <v>79</v>
      </c>
      <c r="H100" s="4" t="n">
        <f aca="false">VLOOKUP($D100,Size!$A$2:$F$13,6,0)</f>
        <v>-2</v>
      </c>
      <c r="J100" s="12" t="n">
        <f aca="false">INT(($B100*$AY100*$AW100*$AZ100)+($B100*$AX100))</f>
        <v>4</v>
      </c>
      <c r="K100" s="4" t="n">
        <f aca="false">ROUND((($B100*$AT100)+($AV100*$AU100)),0)</f>
        <v>3</v>
      </c>
      <c r="L100" s="4" t="n">
        <f aca="false">ROUND((($B100*$AP100)+($B100*$AQ100))*$AR100,0)</f>
        <v>2</v>
      </c>
      <c r="M100" s="4" t="n">
        <f aca="false">ROUND((($B100*$AM100)+($B100*$AN100))*$AO100,0)</f>
        <v>2</v>
      </c>
      <c r="N100" s="4" t="n">
        <f aca="false">ROUND((($B100*$AG100)+($B100*$AH100))*$AI100,0)</f>
        <v>1</v>
      </c>
      <c r="O100" s="4" t="n">
        <f aca="false">ROUND((($B100*$AJ100)+($B100*$AK100))*$AL100,0)</f>
        <v>3</v>
      </c>
      <c r="Q100" s="4" t="n">
        <f aca="false">INT(VLOOKUP($E100,Role!$A$2:$O$9,8,0)*$B100)</f>
        <v>3</v>
      </c>
      <c r="R100" s="4" t="n">
        <f aca="false">INT(VLOOKUP($E100,Role!$A$2:$O$9,9,0)*$B100)</f>
        <v>3</v>
      </c>
      <c r="S100" s="4" t="n">
        <f aca="false">INT(VLOOKUP($E100,Role!$A$2:$P$9,16,0)*$B100*$AS100)</f>
        <v>1</v>
      </c>
      <c r="T100" s="4" t="n">
        <f aca="false">INT(VLOOKUP($D100,Size!$A$2:$Z$13,18,0)*VLOOKUP($E100,Role!$A$2:$O$9,13,0)*$B100/2)</f>
        <v>12</v>
      </c>
      <c r="U100" s="4" t="n">
        <f aca="false">INT(($BB100*$BE100)+($J100*$BC100))</f>
        <v>9</v>
      </c>
      <c r="V100" s="4" t="n">
        <f aca="false">INT((10+$N100)*VLOOKUP($E100,Role!$A$2:$O$9,14,0))</f>
        <v>11</v>
      </c>
      <c r="W100" s="4" t="n">
        <f aca="false">INT($J100*VLOOKUP($E100,Role!$A$2:$O$9,12,0))</f>
        <v>2</v>
      </c>
      <c r="Y100" s="2" t="n">
        <f aca="false">ROUND(MAX($K100,$M100)+(MIN($K100,$M100)*VLOOKUP($E100,Role!$A$2:$O$9,14,0)),0)</f>
        <v>5</v>
      </c>
      <c r="Z100" s="2" t="n">
        <f aca="false">MAX(1,INT(((MIN($J100:$K100)+(MAX($J100:$K100)*$H100*VLOOKUP($E100,Role!$A$2:$O$9,15,0))))*VLOOKUP($G100,Movement!$A$2:$C$7,3,0)))</f>
        <v>1</v>
      </c>
      <c r="AB100" s="5" t="n">
        <f aca="false">INT(5+(($H100-1)/3))</f>
        <v>4</v>
      </c>
      <c r="AC100" s="5" t="n">
        <f aca="false">IF($AB100&lt;$J100,$J100-MAX($AB100,$B100),0)</f>
        <v>0</v>
      </c>
      <c r="AD100" s="5" t="n">
        <f aca="false">(5-ROUND(($H100-1)/3,0))</f>
        <v>6</v>
      </c>
      <c r="AE100" s="5" t="n">
        <f aca="false">IF($AD100&lt;$K100,$K100-MAX($AD100,$B100),0)</f>
        <v>0</v>
      </c>
      <c r="AG100" s="6" t="n">
        <f aca="false">VLOOKUP($F100,Category!$A$2:$AZ$20,24,0)</f>
        <v>0</v>
      </c>
      <c r="AH100" s="6" t="n">
        <f aca="false">VLOOKUP($F100,Category!$A$2:$AZ$20,26,0)</f>
        <v>0.333333333333333</v>
      </c>
      <c r="AI100" s="6" t="n">
        <f aca="false">VLOOKUP($E100,Role!$A$2:$O$9,10,0)</f>
        <v>0.75</v>
      </c>
      <c r="AJ100" s="6" t="n">
        <f aca="false">VLOOKUP($F100,Category!$A$2:$AZ$20,19,0)</f>
        <v>0.0909090909090909</v>
      </c>
      <c r="AK100" s="6" t="n">
        <f aca="false">VLOOKUP($F100,Category!$A$2:$AZ$20,21,0)</f>
        <v>0.545454545454545</v>
      </c>
      <c r="AL100" s="6" t="n">
        <f aca="false">1</f>
        <v>1</v>
      </c>
      <c r="AM100" s="6" t="n">
        <f aca="false">VLOOKUP($F100,Category!$A$2:$AZ$20,19,0)</f>
        <v>0.0909090909090909</v>
      </c>
      <c r="AN100" s="6" t="n">
        <f aca="false">VLOOKUP($F100,Category!$A$2:$AZ$20,21,0)</f>
        <v>0.545454545454545</v>
      </c>
      <c r="AO100" s="6" t="n">
        <f aca="false">VLOOKUP($E100,Role!$A$2:$O$9,10,0)</f>
        <v>0.75</v>
      </c>
      <c r="AP100" s="6" t="n">
        <f aca="false">VLOOKUP($F100,Category!$A$2:$AZ$20,9,0)</f>
        <v>0</v>
      </c>
      <c r="AQ100" s="6" t="n">
        <f aca="false">VLOOKUP($F100,Category!$A$2:$AZ$20,11,0)</f>
        <v>0.555555555555556</v>
      </c>
      <c r="AR100" s="6" t="n">
        <f aca="false">VLOOKUP($E100,Role!$A$2:$O$9,10,0)</f>
        <v>0.75</v>
      </c>
      <c r="AS100" s="6" t="n">
        <f aca="false">VLOOKUP($F100,Category!$A$2:$AZ$20,10,0)</f>
        <v>0.555555555555556</v>
      </c>
      <c r="AT100" s="7" t="n">
        <f aca="false">VLOOKUP($F100,Category!$A$2:$AZ$20,14,0)</f>
        <v>0.416666666666667</v>
      </c>
      <c r="AU100" s="7" t="n">
        <f aca="false">VLOOKUP($F100,Category!$A$2:$AZ$20,16,0)</f>
        <v>0.25</v>
      </c>
      <c r="AV100" s="7" t="n">
        <f aca="false">VLOOKUP($D100,Size!$A$2:$Z$13,17,0)</f>
        <v>3</v>
      </c>
      <c r="AW100" s="7" t="n">
        <f aca="false">VLOOKUP($F100,Category!$A$2:$AZ$20,29,0)</f>
        <v>0.333333333333333</v>
      </c>
      <c r="AX100" s="7" t="n">
        <f aca="false">VLOOKUP($F100,Category!$A$2:$AZ$20,31,0)</f>
        <v>0.333333333333333</v>
      </c>
      <c r="AY100" s="7" t="n">
        <f aca="false">VLOOKUP($D100,Size!$A$2:$Z$13,16,0)</f>
        <v>2</v>
      </c>
      <c r="AZ100" s="7" t="n">
        <f aca="false">VLOOKUP($E100,Role!$A$2:$O$9,11,0)</f>
        <v>0.75</v>
      </c>
      <c r="BB100" s="5" t="n">
        <f aca="false">VLOOKUP($D100,Size!$A$2:$Z$13,19,0)</f>
        <v>7</v>
      </c>
      <c r="BC100" s="5" t="n">
        <f aca="false">VLOOKUP($D100,Size!$A$2:$Z$13,20,0)</f>
        <v>0.5</v>
      </c>
      <c r="BD100" s="5" t="n">
        <f aca="false">VLOOKUP($E100,Role!$A$2:$O$9,13,0)</f>
        <v>0.75</v>
      </c>
      <c r="BE100" s="5" t="n">
        <f aca="false">VLOOKUP($C100,Type!$A$2:$B$4,2,0)</f>
        <v>1</v>
      </c>
    </row>
    <row r="101" customFormat="false" ht="12.8" hidden="false" customHeight="false" outlineLevel="0" collapsed="false">
      <c r="B101" s="2" t="n">
        <v>5</v>
      </c>
      <c r="C101" s="3" t="s">
        <v>51</v>
      </c>
      <c r="D101" s="1" t="s">
        <v>69</v>
      </c>
      <c r="E101" s="1" t="s">
        <v>66</v>
      </c>
      <c r="F101" s="1" t="s">
        <v>67</v>
      </c>
      <c r="G101" s="1" t="s">
        <v>79</v>
      </c>
      <c r="H101" s="4" t="n">
        <f aca="false">VLOOKUP($D101,Size!$A$2:$F$13,6,0)</f>
        <v>-1</v>
      </c>
      <c r="J101" s="12" t="n">
        <f aca="false">INT(($B101*$AY101*$AW101*$AZ101)+($B101*$AX101))</f>
        <v>4</v>
      </c>
      <c r="K101" s="4" t="n">
        <f aca="false">ROUND((($B101*$AT101)+($AV101*$AU101)),0)</f>
        <v>3</v>
      </c>
      <c r="L101" s="4" t="n">
        <f aca="false">ROUND((($B101*$AP101)+($B101*$AQ101))*$AR101,0)</f>
        <v>2</v>
      </c>
      <c r="M101" s="4" t="n">
        <f aca="false">ROUND((($B101*$AM101)+($B101*$AN101))*$AO101,0)</f>
        <v>2</v>
      </c>
      <c r="N101" s="4" t="n">
        <f aca="false">ROUND((($B101*$AG101)+($B101*$AH101))*$AI101,0)</f>
        <v>1</v>
      </c>
      <c r="O101" s="4" t="n">
        <f aca="false">ROUND((($B101*$AJ101)+($B101*$AK101))*$AL101,0)</f>
        <v>3</v>
      </c>
      <c r="Q101" s="4" t="n">
        <f aca="false">INT(VLOOKUP($E101,Role!$A$2:$O$9,8,0)*$B101)</f>
        <v>3</v>
      </c>
      <c r="R101" s="4" t="n">
        <f aca="false">INT(VLOOKUP($E101,Role!$A$2:$O$9,9,0)*$B101)</f>
        <v>3</v>
      </c>
      <c r="S101" s="4" t="n">
        <f aca="false">INT(VLOOKUP($E101,Role!$A$2:$P$9,16,0)*$B101*$AS101)</f>
        <v>1</v>
      </c>
      <c r="T101" s="4" t="n">
        <f aca="false">INT(VLOOKUP($D101,Size!$A$2:$Z$13,18,0)*VLOOKUP($E101,Role!$A$2:$O$9,13,0)*$B101/2)</f>
        <v>15</v>
      </c>
      <c r="U101" s="4" t="n">
        <f aca="false">INT(($BB101*$BE101)+($J101*$BC101))</f>
        <v>10</v>
      </c>
      <c r="V101" s="4" t="n">
        <f aca="false">INT((10+$N101)*VLOOKUP($E101,Role!$A$2:$O$9,14,0))</f>
        <v>11</v>
      </c>
      <c r="W101" s="4" t="n">
        <f aca="false">INT($J101*VLOOKUP($E101,Role!$A$2:$O$9,12,0))</f>
        <v>2</v>
      </c>
      <c r="Y101" s="2" t="n">
        <f aca="false">ROUND(MAX($K101,$M101)+(MIN($K101,$M101)*VLOOKUP($E101,Role!$A$2:$O$9,14,0)),0)</f>
        <v>5</v>
      </c>
      <c r="Z101" s="2" t="n">
        <f aca="false">MAX(1,INT(((MIN($J101:$K101)+(MAX($J101:$K101)*$H101*VLOOKUP($E101,Role!$A$2:$O$9,15,0))))*VLOOKUP($G101,Movement!$A$2:$C$7,3,0)))</f>
        <v>1</v>
      </c>
      <c r="AB101" s="5" t="n">
        <f aca="false">INT(5+(($H101-1)/3))</f>
        <v>4</v>
      </c>
      <c r="AC101" s="5" t="n">
        <f aca="false">IF($AB101&lt;$J101,$J101-MAX($AB101,$B101),0)</f>
        <v>0</v>
      </c>
      <c r="AD101" s="5" t="n">
        <f aca="false">(5-ROUND(($H101-1)/3,0))</f>
        <v>6</v>
      </c>
      <c r="AE101" s="5" t="n">
        <f aca="false">IF($AD101&lt;$K101,$K101-MAX($AD101,$B101),0)</f>
        <v>0</v>
      </c>
      <c r="AG101" s="6" t="n">
        <f aca="false">VLOOKUP($F101,Category!$A$2:$AZ$20,24,0)</f>
        <v>0</v>
      </c>
      <c r="AH101" s="6" t="n">
        <f aca="false">VLOOKUP($F101,Category!$A$2:$AZ$20,26,0)</f>
        <v>0.333333333333333</v>
      </c>
      <c r="AI101" s="6" t="n">
        <f aca="false">VLOOKUP($E101,Role!$A$2:$O$9,10,0)</f>
        <v>0.75</v>
      </c>
      <c r="AJ101" s="6" t="n">
        <f aca="false">VLOOKUP($F101,Category!$A$2:$AZ$20,19,0)</f>
        <v>0.0909090909090909</v>
      </c>
      <c r="AK101" s="6" t="n">
        <f aca="false">VLOOKUP($F101,Category!$A$2:$AZ$20,21,0)</f>
        <v>0.545454545454545</v>
      </c>
      <c r="AL101" s="6" t="n">
        <f aca="false">1</f>
        <v>1</v>
      </c>
      <c r="AM101" s="6" t="n">
        <f aca="false">VLOOKUP($F101,Category!$A$2:$AZ$20,19,0)</f>
        <v>0.0909090909090909</v>
      </c>
      <c r="AN101" s="6" t="n">
        <f aca="false">VLOOKUP($F101,Category!$A$2:$AZ$20,21,0)</f>
        <v>0.545454545454545</v>
      </c>
      <c r="AO101" s="6" t="n">
        <f aca="false">VLOOKUP($E101,Role!$A$2:$O$9,10,0)</f>
        <v>0.75</v>
      </c>
      <c r="AP101" s="6" t="n">
        <f aca="false">VLOOKUP($F101,Category!$A$2:$AZ$20,9,0)</f>
        <v>0</v>
      </c>
      <c r="AQ101" s="6" t="n">
        <f aca="false">VLOOKUP($F101,Category!$A$2:$AZ$20,11,0)</f>
        <v>0.555555555555556</v>
      </c>
      <c r="AR101" s="6" t="n">
        <f aca="false">VLOOKUP($E101,Role!$A$2:$O$9,10,0)</f>
        <v>0.75</v>
      </c>
      <c r="AS101" s="6" t="n">
        <f aca="false">VLOOKUP($F101,Category!$A$2:$AZ$20,10,0)</f>
        <v>0.555555555555556</v>
      </c>
      <c r="AT101" s="7" t="n">
        <f aca="false">VLOOKUP($F101,Category!$A$2:$AZ$20,14,0)</f>
        <v>0.416666666666667</v>
      </c>
      <c r="AU101" s="7" t="n">
        <f aca="false">VLOOKUP($F101,Category!$A$2:$AZ$20,16,0)</f>
        <v>0.25</v>
      </c>
      <c r="AV101" s="7" t="n">
        <f aca="false">VLOOKUP($D101,Size!$A$2:$Z$13,17,0)</f>
        <v>3</v>
      </c>
      <c r="AW101" s="7" t="n">
        <f aca="false">VLOOKUP($F101,Category!$A$2:$AZ$20,29,0)</f>
        <v>0.333333333333333</v>
      </c>
      <c r="AX101" s="7" t="n">
        <f aca="false">VLOOKUP($F101,Category!$A$2:$AZ$20,31,0)</f>
        <v>0.333333333333333</v>
      </c>
      <c r="AY101" s="7" t="n">
        <f aca="false">VLOOKUP($D101,Size!$A$2:$Z$13,16,0)</f>
        <v>2</v>
      </c>
      <c r="AZ101" s="7" t="n">
        <f aca="false">VLOOKUP($E101,Role!$A$2:$O$9,11,0)</f>
        <v>0.75</v>
      </c>
      <c r="BB101" s="5" t="n">
        <f aca="false">VLOOKUP($D101,Size!$A$2:$Z$13,19,0)</f>
        <v>8</v>
      </c>
      <c r="BC101" s="5" t="n">
        <f aca="false">VLOOKUP($D101,Size!$A$2:$Z$13,20,0)</f>
        <v>0.66</v>
      </c>
      <c r="BD101" s="5" t="n">
        <f aca="false">VLOOKUP($E101,Role!$A$2:$O$9,13,0)</f>
        <v>0.75</v>
      </c>
      <c r="BE101" s="5" t="n">
        <f aca="false">VLOOKUP($C101,Type!$A$2:$B$4,2,0)</f>
        <v>1</v>
      </c>
    </row>
    <row r="102" customFormat="false" ht="12.8" hidden="false" customHeight="false" outlineLevel="0" collapsed="false">
      <c r="B102" s="2" t="n">
        <v>5</v>
      </c>
      <c r="C102" s="3" t="s">
        <v>51</v>
      </c>
      <c r="D102" s="1" t="s">
        <v>70</v>
      </c>
      <c r="E102" s="1" t="s">
        <v>66</v>
      </c>
      <c r="F102" s="1" t="s">
        <v>67</v>
      </c>
      <c r="G102" s="1" t="s">
        <v>79</v>
      </c>
      <c r="H102" s="4" t="n">
        <f aca="false">VLOOKUP($D102,Size!$A$2:$F$13,6,0)</f>
        <v>0</v>
      </c>
      <c r="J102" s="12" t="n">
        <f aca="false">INT(($B102*$AY102*$AW102*$AZ102)+($B102*$AX102))</f>
        <v>4</v>
      </c>
      <c r="K102" s="4" t="n">
        <f aca="false">ROUND((($B102*$AT102)+($AV102*$AU102)),0)</f>
        <v>3</v>
      </c>
      <c r="L102" s="4" t="n">
        <f aca="false">ROUND((($B102*$AP102)+($B102*$AQ102))*$AR102,0)</f>
        <v>2</v>
      </c>
      <c r="M102" s="4" t="n">
        <f aca="false">ROUND((($B102*$AM102)+($B102*$AN102))*$AO102,0)</f>
        <v>2</v>
      </c>
      <c r="N102" s="4" t="n">
        <f aca="false">ROUND((($B102*$AG102)+($B102*$AH102))*$AI102,0)</f>
        <v>1</v>
      </c>
      <c r="O102" s="4" t="n">
        <f aca="false">ROUND((($B102*$AJ102)+($B102*$AK102))*$AL102,0)</f>
        <v>3</v>
      </c>
      <c r="Q102" s="4" t="n">
        <f aca="false">INT(VLOOKUP($E102,Role!$A$2:$O$9,8,0)*$B102)</f>
        <v>3</v>
      </c>
      <c r="R102" s="4" t="n">
        <f aca="false">INT(VLOOKUP($E102,Role!$A$2:$O$9,9,0)*$B102)</f>
        <v>3</v>
      </c>
      <c r="S102" s="4" t="n">
        <f aca="false">INT(VLOOKUP($E102,Role!$A$2:$P$9,16,0)*$B102*$AS102)</f>
        <v>1</v>
      </c>
      <c r="T102" s="4" t="n">
        <f aca="false">INT(VLOOKUP($D102,Size!$A$2:$Z$13,18,0)*VLOOKUP($E102,Role!$A$2:$O$9,13,0)*$B102/2)</f>
        <v>18</v>
      </c>
      <c r="U102" s="4" t="n">
        <f aca="false">INT(($BB102*$BE102)+($J102*$BC102))</f>
        <v>12</v>
      </c>
      <c r="V102" s="4" t="n">
        <f aca="false">INT((10+$N102)*VLOOKUP($E102,Role!$A$2:$O$9,14,0))</f>
        <v>11</v>
      </c>
      <c r="W102" s="4" t="n">
        <f aca="false">INT($J102*VLOOKUP($E102,Role!$A$2:$O$9,12,0))</f>
        <v>2</v>
      </c>
      <c r="Y102" s="2" t="n">
        <f aca="false">ROUND(MAX($K102,$M102)+(MIN($K102,$M102)*VLOOKUP($E102,Role!$A$2:$O$9,14,0)),0)</f>
        <v>5</v>
      </c>
      <c r="Z102" s="2" t="n">
        <f aca="false">MAX(1,INT(((MIN($J102:$K102)+(MAX($J102:$K102)*$H102*VLOOKUP($E102,Role!$A$2:$O$9,15,0))))*VLOOKUP($G102,Movement!$A$2:$C$7,3,0)))</f>
        <v>4</v>
      </c>
      <c r="AB102" s="5" t="n">
        <f aca="false">INT(5+(($H102-1)/3))</f>
        <v>4</v>
      </c>
      <c r="AC102" s="5" t="n">
        <f aca="false">IF($AB102&lt;$J102,$J102-MAX($AB102,$B102),0)</f>
        <v>0</v>
      </c>
      <c r="AD102" s="5" t="n">
        <f aca="false">(5-ROUND(($H102-1)/3,0))</f>
        <v>5</v>
      </c>
      <c r="AE102" s="5" t="n">
        <f aca="false">IF($AD102&lt;$K102,$K102-MAX($AD102,$B102),0)</f>
        <v>0</v>
      </c>
      <c r="AG102" s="6" t="n">
        <f aca="false">VLOOKUP($F102,Category!$A$2:$AZ$20,24,0)</f>
        <v>0</v>
      </c>
      <c r="AH102" s="6" t="n">
        <f aca="false">VLOOKUP($F102,Category!$A$2:$AZ$20,26,0)</f>
        <v>0.333333333333333</v>
      </c>
      <c r="AI102" s="6" t="n">
        <f aca="false">VLOOKUP($E102,Role!$A$2:$O$9,10,0)</f>
        <v>0.75</v>
      </c>
      <c r="AJ102" s="6" t="n">
        <f aca="false">VLOOKUP($F102,Category!$A$2:$AZ$20,19,0)</f>
        <v>0.0909090909090909</v>
      </c>
      <c r="AK102" s="6" t="n">
        <f aca="false">VLOOKUP($F102,Category!$A$2:$AZ$20,21,0)</f>
        <v>0.545454545454545</v>
      </c>
      <c r="AL102" s="6" t="n">
        <f aca="false">1</f>
        <v>1</v>
      </c>
      <c r="AM102" s="6" t="n">
        <f aca="false">VLOOKUP($F102,Category!$A$2:$AZ$20,19,0)</f>
        <v>0.0909090909090909</v>
      </c>
      <c r="AN102" s="6" t="n">
        <f aca="false">VLOOKUP($F102,Category!$A$2:$AZ$20,21,0)</f>
        <v>0.545454545454545</v>
      </c>
      <c r="AO102" s="6" t="n">
        <f aca="false">VLOOKUP($E102,Role!$A$2:$O$9,10,0)</f>
        <v>0.75</v>
      </c>
      <c r="AP102" s="6" t="n">
        <f aca="false">VLOOKUP($F102,Category!$A$2:$AZ$20,9,0)</f>
        <v>0</v>
      </c>
      <c r="AQ102" s="6" t="n">
        <f aca="false">VLOOKUP($F102,Category!$A$2:$AZ$20,11,0)</f>
        <v>0.555555555555556</v>
      </c>
      <c r="AR102" s="6" t="n">
        <f aca="false">VLOOKUP($E102,Role!$A$2:$O$9,10,0)</f>
        <v>0.75</v>
      </c>
      <c r="AS102" s="6" t="n">
        <f aca="false">VLOOKUP($F102,Category!$A$2:$AZ$20,10,0)</f>
        <v>0.555555555555556</v>
      </c>
      <c r="AT102" s="7" t="n">
        <f aca="false">VLOOKUP($F102,Category!$A$2:$AZ$20,14,0)</f>
        <v>0.416666666666667</v>
      </c>
      <c r="AU102" s="7" t="n">
        <f aca="false">VLOOKUP($F102,Category!$A$2:$AZ$20,16,0)</f>
        <v>0.25</v>
      </c>
      <c r="AV102" s="7" t="n">
        <f aca="false">VLOOKUP($D102,Size!$A$2:$Z$13,17,0)</f>
        <v>3</v>
      </c>
      <c r="AW102" s="7" t="n">
        <f aca="false">VLOOKUP($F102,Category!$A$2:$AZ$20,29,0)</f>
        <v>0.333333333333333</v>
      </c>
      <c r="AX102" s="7" t="n">
        <f aca="false">VLOOKUP($F102,Category!$A$2:$AZ$20,31,0)</f>
        <v>0.333333333333333</v>
      </c>
      <c r="AY102" s="7" t="n">
        <f aca="false">VLOOKUP($D102,Size!$A$2:$Z$13,16,0)</f>
        <v>2</v>
      </c>
      <c r="AZ102" s="7" t="n">
        <f aca="false">VLOOKUP($E102,Role!$A$2:$O$9,11,0)</f>
        <v>0.75</v>
      </c>
      <c r="BB102" s="5" t="n">
        <f aca="false">VLOOKUP($D102,Size!$A$2:$Z$13,19,0)</f>
        <v>9</v>
      </c>
      <c r="BC102" s="5" t="n">
        <f aca="false">VLOOKUP($D102,Size!$A$2:$Z$13,20,0)</f>
        <v>0.75</v>
      </c>
      <c r="BD102" s="5" t="n">
        <f aca="false">VLOOKUP($E102,Role!$A$2:$O$9,13,0)</f>
        <v>0.75</v>
      </c>
      <c r="BE102" s="5" t="n">
        <f aca="false">VLOOKUP($C102,Type!$A$2:$B$4,2,0)</f>
        <v>1</v>
      </c>
    </row>
    <row r="103" customFormat="false" ht="12.8" hidden="false" customHeight="false" outlineLevel="0" collapsed="false">
      <c r="B103" s="2" t="n">
        <v>5</v>
      </c>
      <c r="C103" s="3" t="s">
        <v>51</v>
      </c>
      <c r="D103" s="1" t="s">
        <v>52</v>
      </c>
      <c r="E103" s="1" t="s">
        <v>66</v>
      </c>
      <c r="F103" s="1" t="s">
        <v>67</v>
      </c>
      <c r="G103" s="1" t="s">
        <v>79</v>
      </c>
      <c r="H103" s="4" t="n">
        <f aca="false">VLOOKUP($D103,Size!$A$2:$F$13,6,0)</f>
        <v>1</v>
      </c>
      <c r="J103" s="12" t="n">
        <f aca="false">INT(($B103*$AY103*$AW103*$AZ103)+($B103*$AX103))</f>
        <v>5</v>
      </c>
      <c r="K103" s="4" t="n">
        <f aca="false">ROUND((($B103*$AT103)+($AV103*$AU103)),0)</f>
        <v>3</v>
      </c>
      <c r="L103" s="4" t="n">
        <f aca="false">ROUND((($B103*$AP103)+($B103*$AQ103))*$AR103,0)</f>
        <v>2</v>
      </c>
      <c r="M103" s="4" t="n">
        <f aca="false">ROUND((($B103*$AM103)+($B103*$AN103))*$AO103,0)</f>
        <v>2</v>
      </c>
      <c r="N103" s="4" t="n">
        <f aca="false">ROUND((($B103*$AG103)+($B103*$AH103))*$AI103,0)</f>
        <v>1</v>
      </c>
      <c r="O103" s="4" t="n">
        <f aca="false">ROUND((($B103*$AJ103)+($B103*$AK103))*$AL103,0)</f>
        <v>3</v>
      </c>
      <c r="Q103" s="4" t="n">
        <f aca="false">INT(VLOOKUP($E103,Role!$A$2:$O$9,8,0)*$B103)</f>
        <v>3</v>
      </c>
      <c r="R103" s="4" t="n">
        <f aca="false">INT(VLOOKUP($E103,Role!$A$2:$O$9,9,0)*$B103)</f>
        <v>3</v>
      </c>
      <c r="S103" s="4" t="n">
        <f aca="false">INT(VLOOKUP($E103,Role!$A$2:$P$9,16,0)*$B103*$AS103)</f>
        <v>1</v>
      </c>
      <c r="T103" s="4" t="n">
        <f aca="false">INT(VLOOKUP($D103,Size!$A$2:$Z$13,18,0)*VLOOKUP($E103,Role!$A$2:$O$9,13,0)*$B103/2)</f>
        <v>24</v>
      </c>
      <c r="U103" s="4" t="n">
        <f aca="false">INT(($BB103*$BE103)+($J103*$BC103))</f>
        <v>15</v>
      </c>
      <c r="V103" s="4" t="n">
        <f aca="false">INT((10+$N103)*VLOOKUP($E103,Role!$A$2:$O$9,14,0))</f>
        <v>11</v>
      </c>
      <c r="W103" s="4" t="n">
        <f aca="false">INT($J103*VLOOKUP($E103,Role!$A$2:$O$9,12,0))</f>
        <v>3</v>
      </c>
      <c r="Y103" s="2" t="n">
        <f aca="false">ROUND(MAX($K103,$M103)+(MIN($K103,$M103)*VLOOKUP($E103,Role!$A$2:$O$9,14,0)),0)</f>
        <v>5</v>
      </c>
      <c r="Z103" s="2" t="n">
        <f aca="false">MAX(1,INT(((MIN($J103:$K103)+(MAX($J103:$K103)*$H103*VLOOKUP($E103,Role!$A$2:$O$9,15,0))))*VLOOKUP($G103,Movement!$A$2:$C$7,3,0)))</f>
        <v>12</v>
      </c>
      <c r="AB103" s="5" t="n">
        <f aca="false">INT(5+(($H103-1)/3))</f>
        <v>5</v>
      </c>
      <c r="AC103" s="5" t="n">
        <f aca="false">IF($AB103&lt;$J103,$J103-MAX($AB103,$B103),0)</f>
        <v>0</v>
      </c>
      <c r="AD103" s="5" t="n">
        <f aca="false">(5-ROUND(($H103-1)/3,0))</f>
        <v>5</v>
      </c>
      <c r="AE103" s="5" t="n">
        <f aca="false">IF($AD103&lt;$K103,$K103-MAX($AD103,$B103),0)</f>
        <v>0</v>
      </c>
      <c r="AG103" s="6" t="n">
        <f aca="false">VLOOKUP($F103,Category!$A$2:$AZ$20,24,0)</f>
        <v>0</v>
      </c>
      <c r="AH103" s="6" t="n">
        <f aca="false">VLOOKUP($F103,Category!$A$2:$AZ$20,26,0)</f>
        <v>0.333333333333333</v>
      </c>
      <c r="AI103" s="6" t="n">
        <f aca="false">VLOOKUP($E103,Role!$A$2:$O$9,10,0)</f>
        <v>0.75</v>
      </c>
      <c r="AJ103" s="6" t="n">
        <f aca="false">VLOOKUP($F103,Category!$A$2:$AZ$20,19,0)</f>
        <v>0.0909090909090909</v>
      </c>
      <c r="AK103" s="6" t="n">
        <f aca="false">VLOOKUP($F103,Category!$A$2:$AZ$20,21,0)</f>
        <v>0.545454545454545</v>
      </c>
      <c r="AL103" s="6" t="n">
        <f aca="false">1</f>
        <v>1</v>
      </c>
      <c r="AM103" s="6" t="n">
        <f aca="false">VLOOKUP($F103,Category!$A$2:$AZ$20,19,0)</f>
        <v>0.0909090909090909</v>
      </c>
      <c r="AN103" s="6" t="n">
        <f aca="false">VLOOKUP($F103,Category!$A$2:$AZ$20,21,0)</f>
        <v>0.545454545454545</v>
      </c>
      <c r="AO103" s="6" t="n">
        <f aca="false">VLOOKUP($E103,Role!$A$2:$O$9,10,0)</f>
        <v>0.75</v>
      </c>
      <c r="AP103" s="6" t="n">
        <f aca="false">VLOOKUP($F103,Category!$A$2:$AZ$20,9,0)</f>
        <v>0</v>
      </c>
      <c r="AQ103" s="6" t="n">
        <f aca="false">VLOOKUP($F103,Category!$A$2:$AZ$20,11,0)</f>
        <v>0.555555555555556</v>
      </c>
      <c r="AR103" s="6" t="n">
        <f aca="false">VLOOKUP($E103,Role!$A$2:$O$9,10,0)</f>
        <v>0.75</v>
      </c>
      <c r="AS103" s="6" t="n">
        <f aca="false">VLOOKUP($F103,Category!$A$2:$AZ$20,10,0)</f>
        <v>0.555555555555556</v>
      </c>
      <c r="AT103" s="7" t="n">
        <f aca="false">VLOOKUP($F103,Category!$A$2:$AZ$20,14,0)</f>
        <v>0.416666666666667</v>
      </c>
      <c r="AU103" s="7" t="n">
        <f aca="false">VLOOKUP($F103,Category!$A$2:$AZ$20,16,0)</f>
        <v>0.25</v>
      </c>
      <c r="AV103" s="7" t="n">
        <f aca="false">VLOOKUP($D103,Size!$A$2:$Z$13,17,0)</f>
        <v>3</v>
      </c>
      <c r="AW103" s="7" t="n">
        <f aca="false">VLOOKUP($F103,Category!$A$2:$AZ$20,29,0)</f>
        <v>0.333333333333333</v>
      </c>
      <c r="AX103" s="7" t="n">
        <f aca="false">VLOOKUP($F103,Category!$A$2:$AZ$20,31,0)</f>
        <v>0.333333333333333</v>
      </c>
      <c r="AY103" s="7" t="n">
        <f aca="false">VLOOKUP($D103,Size!$A$2:$Z$13,16,0)</f>
        <v>3</v>
      </c>
      <c r="AZ103" s="7" t="n">
        <f aca="false">VLOOKUP($E103,Role!$A$2:$O$9,11,0)</f>
        <v>0.75</v>
      </c>
      <c r="BB103" s="5" t="n">
        <f aca="false">VLOOKUP($D103,Size!$A$2:$Z$13,19,0)</f>
        <v>10</v>
      </c>
      <c r="BC103" s="5" t="n">
        <f aca="false">VLOOKUP($D103,Size!$A$2:$Z$13,20,0)</f>
        <v>1</v>
      </c>
      <c r="BD103" s="5" t="n">
        <f aca="false">VLOOKUP($E103,Role!$A$2:$O$9,13,0)</f>
        <v>0.75</v>
      </c>
      <c r="BE103" s="5" t="n">
        <f aca="false">VLOOKUP($C103,Type!$A$2:$B$4,2,0)</f>
        <v>1</v>
      </c>
    </row>
    <row r="104" customFormat="false" ht="12.8" hidden="false" customHeight="false" outlineLevel="0" collapsed="false">
      <c r="B104" s="2" t="n">
        <v>5</v>
      </c>
      <c r="C104" s="3" t="s">
        <v>51</v>
      </c>
      <c r="D104" s="1" t="s">
        <v>71</v>
      </c>
      <c r="E104" s="1" t="s">
        <v>66</v>
      </c>
      <c r="F104" s="1" t="s">
        <v>67</v>
      </c>
      <c r="G104" s="1" t="s">
        <v>79</v>
      </c>
      <c r="H104" s="4" t="n">
        <f aca="false">VLOOKUP($D104,Size!$A$2:$F$13,6,0)</f>
        <v>2</v>
      </c>
      <c r="J104" s="12" t="n">
        <f aca="false">INT(($B104*$AY104*$AW104*$AZ104)+($B104*$AX104))</f>
        <v>5</v>
      </c>
      <c r="K104" s="4" t="n">
        <f aca="false">ROUND((($B104*$AT104)+($AV104*$AU104)),0)</f>
        <v>3</v>
      </c>
      <c r="L104" s="4" t="n">
        <f aca="false">ROUND((($B104*$AP104)+($B104*$AQ104))*$AR104,0)</f>
        <v>2</v>
      </c>
      <c r="M104" s="4" t="n">
        <f aca="false">ROUND((($B104*$AM104)+($B104*$AN104))*$AO104,0)</f>
        <v>2</v>
      </c>
      <c r="N104" s="4" t="n">
        <f aca="false">ROUND((($B104*$AG104)+($B104*$AH104))*$AI104,0)</f>
        <v>1</v>
      </c>
      <c r="O104" s="4" t="n">
        <f aca="false">ROUND((($B104*$AJ104)+($B104*$AK104))*$AL104,0)</f>
        <v>3</v>
      </c>
      <c r="Q104" s="4" t="n">
        <f aca="false">INT(VLOOKUP($E104,Role!$A$2:$O$9,8,0)*$B104)</f>
        <v>3</v>
      </c>
      <c r="R104" s="4" t="n">
        <f aca="false">INT(VLOOKUP($E104,Role!$A$2:$O$9,9,0)*$B104)</f>
        <v>3</v>
      </c>
      <c r="S104" s="4" t="n">
        <f aca="false">INT(VLOOKUP($E104,Role!$A$2:$P$9,16,0)*$B104*$AS104)</f>
        <v>1</v>
      </c>
      <c r="T104" s="4" t="n">
        <f aca="false">INT(VLOOKUP($D104,Size!$A$2:$Z$13,18,0)*VLOOKUP($E104,Role!$A$2:$O$9,13,0)*$B104/2)</f>
        <v>30</v>
      </c>
      <c r="U104" s="4" t="n">
        <f aca="false">INT(($BB104*$BE104)+($J104*$BC104))</f>
        <v>22</v>
      </c>
      <c r="V104" s="4" t="n">
        <f aca="false">INT((10+$N104)*VLOOKUP($E104,Role!$A$2:$O$9,14,0))</f>
        <v>11</v>
      </c>
      <c r="W104" s="4" t="n">
        <f aca="false">INT($J104*VLOOKUP($E104,Role!$A$2:$O$9,12,0))</f>
        <v>3</v>
      </c>
      <c r="Y104" s="2" t="n">
        <f aca="false">ROUND(MAX($K104,$M104)+(MIN($K104,$M104)*VLOOKUP($E104,Role!$A$2:$O$9,14,0)),0)</f>
        <v>5</v>
      </c>
      <c r="Z104" s="2" t="n">
        <f aca="false">MAX(1,INT(((MIN($J104:$K104)+(MAX($J104:$K104)*$H104*VLOOKUP($E104,Role!$A$2:$O$9,15,0))))*VLOOKUP($G104,Movement!$A$2:$C$7,3,0)))</f>
        <v>19</v>
      </c>
      <c r="AB104" s="5" t="n">
        <f aca="false">INT(5+(($H104-1)/3))</f>
        <v>5</v>
      </c>
      <c r="AC104" s="5" t="n">
        <f aca="false">IF($AB104&lt;$J104,$J104-MAX($AB104,$B104),0)</f>
        <v>0</v>
      </c>
      <c r="AD104" s="5" t="n">
        <f aca="false">(5-ROUND(($H104-1)/3,0))</f>
        <v>5</v>
      </c>
      <c r="AE104" s="5" t="n">
        <f aca="false">IF($AD104&lt;$K104,$K104-MAX($AD104,$B104),0)</f>
        <v>0</v>
      </c>
      <c r="AG104" s="6" t="n">
        <f aca="false">VLOOKUP($F104,Category!$A$2:$AZ$20,24,0)</f>
        <v>0</v>
      </c>
      <c r="AH104" s="6" t="n">
        <f aca="false">VLOOKUP($F104,Category!$A$2:$AZ$20,26,0)</f>
        <v>0.333333333333333</v>
      </c>
      <c r="AI104" s="6" t="n">
        <f aca="false">VLOOKUP($E104,Role!$A$2:$O$9,10,0)</f>
        <v>0.75</v>
      </c>
      <c r="AJ104" s="6" t="n">
        <f aca="false">VLOOKUP($F104,Category!$A$2:$AZ$20,19,0)</f>
        <v>0.0909090909090909</v>
      </c>
      <c r="AK104" s="6" t="n">
        <f aca="false">VLOOKUP($F104,Category!$A$2:$AZ$20,21,0)</f>
        <v>0.545454545454545</v>
      </c>
      <c r="AL104" s="6" t="n">
        <f aca="false">1</f>
        <v>1</v>
      </c>
      <c r="AM104" s="6" t="n">
        <f aca="false">VLOOKUP($F104,Category!$A$2:$AZ$20,19,0)</f>
        <v>0.0909090909090909</v>
      </c>
      <c r="AN104" s="6" t="n">
        <f aca="false">VLOOKUP($F104,Category!$A$2:$AZ$20,21,0)</f>
        <v>0.545454545454545</v>
      </c>
      <c r="AO104" s="6" t="n">
        <f aca="false">VLOOKUP($E104,Role!$A$2:$O$9,10,0)</f>
        <v>0.75</v>
      </c>
      <c r="AP104" s="6" t="n">
        <f aca="false">VLOOKUP($F104,Category!$A$2:$AZ$20,9,0)</f>
        <v>0</v>
      </c>
      <c r="AQ104" s="6" t="n">
        <f aca="false">VLOOKUP($F104,Category!$A$2:$AZ$20,11,0)</f>
        <v>0.555555555555556</v>
      </c>
      <c r="AR104" s="6" t="n">
        <f aca="false">VLOOKUP($E104,Role!$A$2:$O$9,10,0)</f>
        <v>0.75</v>
      </c>
      <c r="AS104" s="6" t="n">
        <f aca="false">VLOOKUP($F104,Category!$A$2:$AZ$20,10,0)</f>
        <v>0.555555555555556</v>
      </c>
      <c r="AT104" s="7" t="n">
        <f aca="false">VLOOKUP($F104,Category!$A$2:$AZ$20,14,0)</f>
        <v>0.416666666666667</v>
      </c>
      <c r="AU104" s="7" t="n">
        <f aca="false">VLOOKUP($F104,Category!$A$2:$AZ$20,16,0)</f>
        <v>0.25</v>
      </c>
      <c r="AV104" s="7" t="n">
        <f aca="false">VLOOKUP($D104,Size!$A$2:$Z$13,17,0)</f>
        <v>3</v>
      </c>
      <c r="AW104" s="7" t="n">
        <f aca="false">VLOOKUP($F104,Category!$A$2:$AZ$20,29,0)</f>
        <v>0.333333333333333</v>
      </c>
      <c r="AX104" s="7" t="n">
        <f aca="false">VLOOKUP($F104,Category!$A$2:$AZ$20,31,0)</f>
        <v>0.333333333333333</v>
      </c>
      <c r="AY104" s="7" t="n">
        <f aca="false">VLOOKUP($D104,Size!$A$2:$Z$13,16,0)</f>
        <v>3</v>
      </c>
      <c r="AZ104" s="7" t="n">
        <f aca="false">VLOOKUP($E104,Role!$A$2:$O$9,11,0)</f>
        <v>0.75</v>
      </c>
      <c r="BB104" s="5" t="n">
        <f aca="false">VLOOKUP($D104,Size!$A$2:$Z$13,19,0)</f>
        <v>12</v>
      </c>
      <c r="BC104" s="5" t="n">
        <f aca="false">VLOOKUP($D104,Size!$A$2:$Z$13,20,0)</f>
        <v>2</v>
      </c>
      <c r="BD104" s="5" t="n">
        <f aca="false">VLOOKUP($E104,Role!$A$2:$O$9,13,0)</f>
        <v>0.75</v>
      </c>
      <c r="BE104" s="5" t="n">
        <f aca="false">VLOOKUP($C104,Type!$A$2:$B$4,2,0)</f>
        <v>1</v>
      </c>
    </row>
    <row r="105" customFormat="false" ht="12.8" hidden="false" customHeight="false" outlineLevel="0" collapsed="false">
      <c r="B105" s="2" t="n">
        <v>5</v>
      </c>
      <c r="C105" s="3" t="s">
        <v>51</v>
      </c>
      <c r="D105" s="1" t="s">
        <v>72</v>
      </c>
      <c r="E105" s="1" t="s">
        <v>66</v>
      </c>
      <c r="F105" s="1" t="s">
        <v>67</v>
      </c>
      <c r="G105" s="1" t="s">
        <v>79</v>
      </c>
      <c r="H105" s="4" t="n">
        <f aca="false">VLOOKUP($D105,Size!$A$2:$F$13,6,0)</f>
        <v>3</v>
      </c>
      <c r="J105" s="12" t="n">
        <f aca="false">INT(($B105*$AY105*$AW105*$AZ105)+($B105*$AX105))</f>
        <v>6</v>
      </c>
      <c r="K105" s="4" t="n">
        <f aca="false">ROUND((($B105*$AT105)+($AV105*$AU105)),0)</f>
        <v>3</v>
      </c>
      <c r="L105" s="4" t="n">
        <f aca="false">ROUND((($B105*$AP105)+($B105*$AQ105))*$AR105,0)</f>
        <v>2</v>
      </c>
      <c r="M105" s="4" t="n">
        <f aca="false">ROUND((($B105*$AM105)+($B105*$AN105))*$AO105,0)</f>
        <v>2</v>
      </c>
      <c r="N105" s="4" t="n">
        <f aca="false">ROUND((($B105*$AG105)+($B105*$AH105))*$AI105,0)</f>
        <v>1</v>
      </c>
      <c r="O105" s="4" t="n">
        <f aca="false">ROUND((($B105*$AJ105)+($B105*$AK105))*$AL105,0)</f>
        <v>3</v>
      </c>
      <c r="Q105" s="4" t="n">
        <f aca="false">INT(VLOOKUP($E105,Role!$A$2:$O$9,8,0)*$B105)</f>
        <v>3</v>
      </c>
      <c r="R105" s="4" t="n">
        <f aca="false">INT(VLOOKUP($E105,Role!$A$2:$O$9,9,0)*$B105)</f>
        <v>3</v>
      </c>
      <c r="S105" s="4" t="n">
        <f aca="false">INT(VLOOKUP($E105,Role!$A$2:$P$9,16,0)*$B105*$AS105)</f>
        <v>1</v>
      </c>
      <c r="T105" s="4" t="n">
        <f aca="false">INT(VLOOKUP($D105,Size!$A$2:$Z$13,18,0)*VLOOKUP($E105,Role!$A$2:$O$9,13,0)*$B105/2)</f>
        <v>40</v>
      </c>
      <c r="U105" s="4" t="n">
        <f aca="false">INT(($BB105*$BE105)+($J105*$BC105))</f>
        <v>38</v>
      </c>
      <c r="V105" s="4" t="n">
        <f aca="false">INT((10+$N105)*VLOOKUP($E105,Role!$A$2:$O$9,14,0))</f>
        <v>11</v>
      </c>
      <c r="W105" s="4" t="n">
        <f aca="false">INT($J105*VLOOKUP($E105,Role!$A$2:$O$9,12,0))</f>
        <v>4</v>
      </c>
      <c r="Y105" s="2" t="n">
        <f aca="false">ROUND(MAX($K105,$M105)+(MIN($K105,$M105)*VLOOKUP($E105,Role!$A$2:$O$9,14,0)),0)</f>
        <v>5</v>
      </c>
      <c r="Z105" s="2" t="n">
        <f aca="false">MAX(1,INT(((MIN($J105:$K105)+(MAX($J105:$K105)*$H105*VLOOKUP($E105,Role!$A$2:$O$9,15,0))))*VLOOKUP($G105,Movement!$A$2:$C$7,3,0)))</f>
        <v>31</v>
      </c>
      <c r="AB105" s="5" t="n">
        <f aca="false">INT(5+(($H105-1)/3))</f>
        <v>5</v>
      </c>
      <c r="AC105" s="5" t="n">
        <f aca="false">IF($AB105&lt;$J105,$J105-MAX($AB105,$B105),0)</f>
        <v>1</v>
      </c>
      <c r="AD105" s="5" t="n">
        <f aca="false">(5-ROUND(($H105-1)/3,0))</f>
        <v>4</v>
      </c>
      <c r="AE105" s="5" t="n">
        <f aca="false">IF($AD105&lt;$K105,$K105-MAX($AD105,$B105),0)</f>
        <v>0</v>
      </c>
      <c r="AG105" s="6" t="n">
        <f aca="false">VLOOKUP($F105,Category!$A$2:$AZ$20,24,0)</f>
        <v>0</v>
      </c>
      <c r="AH105" s="6" t="n">
        <f aca="false">VLOOKUP($F105,Category!$A$2:$AZ$20,26,0)</f>
        <v>0.333333333333333</v>
      </c>
      <c r="AI105" s="6" t="n">
        <f aca="false">VLOOKUP($E105,Role!$A$2:$O$9,10,0)</f>
        <v>0.75</v>
      </c>
      <c r="AJ105" s="6" t="n">
        <f aca="false">VLOOKUP($F105,Category!$A$2:$AZ$20,19,0)</f>
        <v>0.0909090909090909</v>
      </c>
      <c r="AK105" s="6" t="n">
        <f aca="false">VLOOKUP($F105,Category!$A$2:$AZ$20,21,0)</f>
        <v>0.545454545454545</v>
      </c>
      <c r="AL105" s="6" t="n">
        <f aca="false">1</f>
        <v>1</v>
      </c>
      <c r="AM105" s="6" t="n">
        <f aca="false">VLOOKUP($F105,Category!$A$2:$AZ$20,19,0)</f>
        <v>0.0909090909090909</v>
      </c>
      <c r="AN105" s="6" t="n">
        <f aca="false">VLOOKUP($F105,Category!$A$2:$AZ$20,21,0)</f>
        <v>0.545454545454545</v>
      </c>
      <c r="AO105" s="6" t="n">
        <f aca="false">VLOOKUP($E105,Role!$A$2:$O$9,10,0)</f>
        <v>0.75</v>
      </c>
      <c r="AP105" s="6" t="n">
        <f aca="false">VLOOKUP($F105,Category!$A$2:$AZ$20,9,0)</f>
        <v>0</v>
      </c>
      <c r="AQ105" s="6" t="n">
        <f aca="false">VLOOKUP($F105,Category!$A$2:$AZ$20,11,0)</f>
        <v>0.555555555555556</v>
      </c>
      <c r="AR105" s="6" t="n">
        <f aca="false">VLOOKUP($E105,Role!$A$2:$O$9,10,0)</f>
        <v>0.75</v>
      </c>
      <c r="AS105" s="6" t="n">
        <f aca="false">VLOOKUP($F105,Category!$A$2:$AZ$20,10,0)</f>
        <v>0.555555555555556</v>
      </c>
      <c r="AT105" s="7" t="n">
        <f aca="false">VLOOKUP($F105,Category!$A$2:$AZ$20,14,0)</f>
        <v>0.416666666666667</v>
      </c>
      <c r="AU105" s="7" t="n">
        <f aca="false">VLOOKUP($F105,Category!$A$2:$AZ$20,16,0)</f>
        <v>0.25</v>
      </c>
      <c r="AV105" s="7" t="n">
        <f aca="false">VLOOKUP($D105,Size!$A$2:$Z$13,17,0)</f>
        <v>2</v>
      </c>
      <c r="AW105" s="7" t="n">
        <f aca="false">VLOOKUP($F105,Category!$A$2:$AZ$20,29,0)</f>
        <v>0.333333333333333</v>
      </c>
      <c r="AX105" s="7" t="n">
        <f aca="false">VLOOKUP($F105,Category!$A$2:$AZ$20,31,0)</f>
        <v>0.333333333333333</v>
      </c>
      <c r="AY105" s="7" t="n">
        <f aca="false">VLOOKUP($D105,Size!$A$2:$Z$13,16,0)</f>
        <v>4</v>
      </c>
      <c r="AZ105" s="7" t="n">
        <f aca="false">VLOOKUP($E105,Role!$A$2:$O$9,11,0)</f>
        <v>0.75</v>
      </c>
      <c r="BB105" s="5" t="n">
        <f aca="false">VLOOKUP($D105,Size!$A$2:$Z$13,19,0)</f>
        <v>14</v>
      </c>
      <c r="BC105" s="5" t="n">
        <f aca="false">VLOOKUP($D105,Size!$A$2:$Z$13,20,0)</f>
        <v>4</v>
      </c>
      <c r="BD105" s="5" t="n">
        <f aca="false">VLOOKUP($E105,Role!$A$2:$O$9,13,0)</f>
        <v>0.75</v>
      </c>
      <c r="BE105" s="5" t="n">
        <f aca="false">VLOOKUP($C105,Type!$A$2:$B$4,2,0)</f>
        <v>1</v>
      </c>
    </row>
    <row r="106" customFormat="false" ht="12.8" hidden="false" customHeight="false" outlineLevel="0" collapsed="false">
      <c r="B106" s="2" t="n">
        <v>5</v>
      </c>
      <c r="C106" s="3" t="s">
        <v>51</v>
      </c>
      <c r="D106" s="1" t="s">
        <v>73</v>
      </c>
      <c r="E106" s="1" t="s">
        <v>66</v>
      </c>
      <c r="F106" s="1" t="s">
        <v>67</v>
      </c>
      <c r="G106" s="1" t="s">
        <v>79</v>
      </c>
      <c r="H106" s="4" t="n">
        <f aca="false">VLOOKUP($D106,Size!$A$2:$F$13,6,0)</f>
        <v>4</v>
      </c>
      <c r="J106" s="12" t="n">
        <f aca="false">INT(($B106*$AY106*$AW106*$AZ106)+($B106*$AX106))</f>
        <v>6</v>
      </c>
      <c r="K106" s="4" t="n">
        <f aca="false">ROUND((($B106*$AT106)+($AV106*$AU106)),0)</f>
        <v>3</v>
      </c>
      <c r="L106" s="4" t="n">
        <f aca="false">ROUND((($B106*$AP106)+($B106*$AQ106))*$AR106,0)</f>
        <v>2</v>
      </c>
      <c r="M106" s="4" t="n">
        <f aca="false">ROUND((($B106*$AM106)+($B106*$AN106))*$AO106,0)</f>
        <v>2</v>
      </c>
      <c r="N106" s="4" t="n">
        <f aca="false">ROUND((($B106*$AG106)+($B106*$AH106))*$AI106,0)</f>
        <v>1</v>
      </c>
      <c r="O106" s="4" t="n">
        <f aca="false">ROUND((($B106*$AJ106)+($B106*$AK106))*$AL106,0)</f>
        <v>3</v>
      </c>
      <c r="Q106" s="4" t="n">
        <f aca="false">INT(VLOOKUP($E106,Role!$A$2:$O$9,8,0)*$B106)</f>
        <v>3</v>
      </c>
      <c r="R106" s="4" t="n">
        <f aca="false">INT(VLOOKUP($E106,Role!$A$2:$O$9,9,0)*$B106)</f>
        <v>3</v>
      </c>
      <c r="S106" s="4" t="n">
        <f aca="false">INT(VLOOKUP($E106,Role!$A$2:$P$9,16,0)*$B106*$AS106)</f>
        <v>1</v>
      </c>
      <c r="T106" s="4" t="n">
        <f aca="false">INT(VLOOKUP($D106,Size!$A$2:$Z$13,18,0)*VLOOKUP($E106,Role!$A$2:$O$9,13,0)*$B106/2)</f>
        <v>47</v>
      </c>
      <c r="U106" s="4" t="n">
        <f aca="false">INT(($BB106*$BE106)+($J106*$BC106))</f>
        <v>52</v>
      </c>
      <c r="V106" s="4" t="n">
        <f aca="false">INT((10+$N106)*VLOOKUP($E106,Role!$A$2:$O$9,14,0))</f>
        <v>11</v>
      </c>
      <c r="W106" s="4" t="n">
        <f aca="false">INT($J106*VLOOKUP($E106,Role!$A$2:$O$9,12,0))</f>
        <v>4</v>
      </c>
      <c r="Y106" s="2" t="n">
        <f aca="false">ROUND(MAX($K106,$M106)+(MIN($K106,$M106)*VLOOKUP($E106,Role!$A$2:$O$9,14,0)),0)</f>
        <v>5</v>
      </c>
      <c r="Z106" s="2" t="n">
        <f aca="false">MAX(1,INT(((MIN($J106:$K106)+(MAX($J106:$K106)*$H106*VLOOKUP($E106,Role!$A$2:$O$9,15,0))))*VLOOKUP($G106,Movement!$A$2:$C$7,3,0)))</f>
        <v>40</v>
      </c>
      <c r="AB106" s="5" t="n">
        <f aca="false">INT(5+(($H106-1)/3))</f>
        <v>6</v>
      </c>
      <c r="AC106" s="5" t="n">
        <f aca="false">IF($AB106&lt;$J106,$J106-MAX($AB106,$B106),0)</f>
        <v>0</v>
      </c>
      <c r="AD106" s="5" t="n">
        <f aca="false">(5-ROUND(($H106-1)/3,0))</f>
        <v>4</v>
      </c>
      <c r="AE106" s="5" t="n">
        <f aca="false">IF($AD106&lt;$K106,$K106-MAX($AD106,$B106),0)</f>
        <v>0</v>
      </c>
      <c r="AG106" s="6" t="n">
        <f aca="false">VLOOKUP($F106,Category!$A$2:$AZ$20,24,0)</f>
        <v>0</v>
      </c>
      <c r="AH106" s="6" t="n">
        <f aca="false">VLOOKUP($F106,Category!$A$2:$AZ$20,26,0)</f>
        <v>0.333333333333333</v>
      </c>
      <c r="AI106" s="6" t="n">
        <f aca="false">VLOOKUP($E106,Role!$A$2:$O$9,10,0)</f>
        <v>0.75</v>
      </c>
      <c r="AJ106" s="6" t="n">
        <f aca="false">VLOOKUP($F106,Category!$A$2:$AZ$20,19,0)</f>
        <v>0.0909090909090909</v>
      </c>
      <c r="AK106" s="6" t="n">
        <f aca="false">VLOOKUP($F106,Category!$A$2:$AZ$20,21,0)</f>
        <v>0.545454545454545</v>
      </c>
      <c r="AL106" s="6" t="n">
        <f aca="false">1</f>
        <v>1</v>
      </c>
      <c r="AM106" s="6" t="n">
        <f aca="false">VLOOKUP($F106,Category!$A$2:$AZ$20,19,0)</f>
        <v>0.0909090909090909</v>
      </c>
      <c r="AN106" s="6" t="n">
        <f aca="false">VLOOKUP($F106,Category!$A$2:$AZ$20,21,0)</f>
        <v>0.545454545454545</v>
      </c>
      <c r="AO106" s="6" t="n">
        <f aca="false">VLOOKUP($E106,Role!$A$2:$O$9,10,0)</f>
        <v>0.75</v>
      </c>
      <c r="AP106" s="6" t="n">
        <f aca="false">VLOOKUP($F106,Category!$A$2:$AZ$20,9,0)</f>
        <v>0</v>
      </c>
      <c r="AQ106" s="6" t="n">
        <f aca="false">VLOOKUP($F106,Category!$A$2:$AZ$20,11,0)</f>
        <v>0.555555555555556</v>
      </c>
      <c r="AR106" s="6" t="n">
        <f aca="false">VLOOKUP($E106,Role!$A$2:$O$9,10,0)</f>
        <v>0.75</v>
      </c>
      <c r="AS106" s="6" t="n">
        <f aca="false">VLOOKUP($F106,Category!$A$2:$AZ$20,10,0)</f>
        <v>0.555555555555556</v>
      </c>
      <c r="AT106" s="7" t="n">
        <f aca="false">VLOOKUP($F106,Category!$A$2:$AZ$20,14,0)</f>
        <v>0.416666666666667</v>
      </c>
      <c r="AU106" s="7" t="n">
        <f aca="false">VLOOKUP($F106,Category!$A$2:$AZ$20,16,0)</f>
        <v>0.25</v>
      </c>
      <c r="AV106" s="7" t="n">
        <f aca="false">VLOOKUP($D106,Size!$A$2:$Z$13,17,0)</f>
        <v>2</v>
      </c>
      <c r="AW106" s="7" t="n">
        <f aca="false">VLOOKUP($F106,Category!$A$2:$AZ$20,29,0)</f>
        <v>0.333333333333333</v>
      </c>
      <c r="AX106" s="7" t="n">
        <f aca="false">VLOOKUP($F106,Category!$A$2:$AZ$20,31,0)</f>
        <v>0.333333333333333</v>
      </c>
      <c r="AY106" s="7" t="n">
        <f aca="false">VLOOKUP($D106,Size!$A$2:$Z$13,16,0)</f>
        <v>4</v>
      </c>
      <c r="AZ106" s="7" t="n">
        <f aca="false">VLOOKUP($E106,Role!$A$2:$O$9,11,0)</f>
        <v>0.75</v>
      </c>
      <c r="BB106" s="5" t="n">
        <f aca="false">VLOOKUP($D106,Size!$A$2:$Z$13,19,0)</f>
        <v>16</v>
      </c>
      <c r="BC106" s="5" t="n">
        <f aca="false">VLOOKUP($D106,Size!$A$2:$Z$13,20,0)</f>
        <v>6</v>
      </c>
      <c r="BD106" s="5" t="n">
        <f aca="false">VLOOKUP($E106,Role!$A$2:$O$9,13,0)</f>
        <v>0.75</v>
      </c>
      <c r="BE106" s="5" t="n">
        <f aca="false">VLOOKUP($C106,Type!$A$2:$B$4,2,0)</f>
        <v>1</v>
      </c>
    </row>
    <row r="107" customFormat="false" ht="12.8" hidden="false" customHeight="false" outlineLevel="0" collapsed="false">
      <c r="B107" s="2" t="n">
        <v>5</v>
      </c>
      <c r="C107" s="3" t="s">
        <v>51</v>
      </c>
      <c r="D107" s="1" t="s">
        <v>74</v>
      </c>
      <c r="E107" s="1" t="s">
        <v>66</v>
      </c>
      <c r="F107" s="1" t="s">
        <v>67</v>
      </c>
      <c r="G107" s="1" t="s">
        <v>79</v>
      </c>
      <c r="H107" s="4" t="n">
        <f aca="false">VLOOKUP($D107,Size!$A$2:$F$13,6,0)</f>
        <v>5</v>
      </c>
      <c r="J107" s="12" t="n">
        <f aca="false">INT(($B107*$AY107*$AW107*$AZ107)+($B107*$AX107))</f>
        <v>7</v>
      </c>
      <c r="K107" s="4" t="n">
        <f aca="false">ROUND((($B107*$AT107)+($AV107*$AU107)),0)</f>
        <v>3</v>
      </c>
      <c r="L107" s="4" t="n">
        <f aca="false">ROUND((($B107*$AP107)+($B107*$AQ107))*$AR107,0)</f>
        <v>2</v>
      </c>
      <c r="M107" s="4" t="n">
        <f aca="false">ROUND((($B107*$AM107)+($B107*$AN107))*$AO107,0)</f>
        <v>2</v>
      </c>
      <c r="N107" s="4" t="n">
        <f aca="false">ROUND((($B107*$AG107)+($B107*$AH107))*$AI107,0)</f>
        <v>1</v>
      </c>
      <c r="O107" s="4" t="n">
        <f aca="false">ROUND((($B107*$AJ107)+($B107*$AK107))*$AL107,0)</f>
        <v>3</v>
      </c>
      <c r="Q107" s="4" t="n">
        <f aca="false">INT(VLOOKUP($E107,Role!$A$2:$O$9,8,0)*$B107)</f>
        <v>3</v>
      </c>
      <c r="R107" s="4" t="n">
        <f aca="false">INT(VLOOKUP($E107,Role!$A$2:$O$9,9,0)*$B107)</f>
        <v>3</v>
      </c>
      <c r="S107" s="4" t="n">
        <f aca="false">INT(VLOOKUP($E107,Role!$A$2:$P$9,16,0)*$B107*$AS107)</f>
        <v>1</v>
      </c>
      <c r="T107" s="4" t="n">
        <f aca="false">INT(VLOOKUP($D107,Size!$A$2:$Z$13,18,0)*VLOOKUP($E107,Role!$A$2:$O$9,13,0)*$B107/2)</f>
        <v>58</v>
      </c>
      <c r="U107" s="4" t="n">
        <f aca="false">INT(($BB107*$BE107)+($J107*$BC107))</f>
        <v>74</v>
      </c>
      <c r="V107" s="4" t="n">
        <f aca="false">INT((10+$N107)*VLOOKUP($E107,Role!$A$2:$O$9,14,0))</f>
        <v>11</v>
      </c>
      <c r="W107" s="4" t="n">
        <f aca="false">INT($J107*VLOOKUP($E107,Role!$A$2:$O$9,12,0))</f>
        <v>4</v>
      </c>
      <c r="Y107" s="2" t="n">
        <f aca="false">ROUND(MAX($K107,$M107)+(MIN($K107,$M107)*VLOOKUP($E107,Role!$A$2:$O$9,14,0)),0)</f>
        <v>5</v>
      </c>
      <c r="Z107" s="2" t="n">
        <f aca="false">MAX(1,INT(((MIN($J107:$K107)+(MAX($J107:$K107)*$H107*VLOOKUP($E107,Role!$A$2:$O$9,15,0))))*VLOOKUP($G107,Movement!$A$2:$C$7,3,0)))</f>
        <v>57</v>
      </c>
      <c r="AB107" s="5" t="n">
        <f aca="false">INT(5+(($H107-1)/3))</f>
        <v>6</v>
      </c>
      <c r="AC107" s="5" t="n">
        <f aca="false">IF($AB107&lt;$J107,$J107-MAX($AB107,$B107),0)</f>
        <v>1</v>
      </c>
      <c r="AD107" s="5" t="n">
        <f aca="false">(5-ROUND(($H107-1)/3,0))</f>
        <v>4</v>
      </c>
      <c r="AE107" s="5" t="n">
        <f aca="false">IF($AD107&lt;$K107,$K107-MAX($AD107,$B107),0)</f>
        <v>0</v>
      </c>
      <c r="AG107" s="6" t="n">
        <f aca="false">VLOOKUP($F107,Category!$A$2:$AZ$20,24,0)</f>
        <v>0</v>
      </c>
      <c r="AH107" s="6" t="n">
        <f aca="false">VLOOKUP($F107,Category!$A$2:$AZ$20,26,0)</f>
        <v>0.333333333333333</v>
      </c>
      <c r="AI107" s="6" t="n">
        <f aca="false">VLOOKUP($E107,Role!$A$2:$O$9,10,0)</f>
        <v>0.75</v>
      </c>
      <c r="AJ107" s="6" t="n">
        <f aca="false">VLOOKUP($F107,Category!$A$2:$AZ$20,19,0)</f>
        <v>0.0909090909090909</v>
      </c>
      <c r="AK107" s="6" t="n">
        <f aca="false">VLOOKUP($F107,Category!$A$2:$AZ$20,21,0)</f>
        <v>0.545454545454545</v>
      </c>
      <c r="AL107" s="6" t="n">
        <f aca="false">1</f>
        <v>1</v>
      </c>
      <c r="AM107" s="6" t="n">
        <f aca="false">VLOOKUP($F107,Category!$A$2:$AZ$20,19,0)</f>
        <v>0.0909090909090909</v>
      </c>
      <c r="AN107" s="6" t="n">
        <f aca="false">VLOOKUP($F107,Category!$A$2:$AZ$20,21,0)</f>
        <v>0.545454545454545</v>
      </c>
      <c r="AO107" s="6" t="n">
        <f aca="false">VLOOKUP($E107,Role!$A$2:$O$9,10,0)</f>
        <v>0.75</v>
      </c>
      <c r="AP107" s="6" t="n">
        <f aca="false">VLOOKUP($F107,Category!$A$2:$AZ$20,9,0)</f>
        <v>0</v>
      </c>
      <c r="AQ107" s="6" t="n">
        <f aca="false">VLOOKUP($F107,Category!$A$2:$AZ$20,11,0)</f>
        <v>0.555555555555556</v>
      </c>
      <c r="AR107" s="6" t="n">
        <f aca="false">VLOOKUP($E107,Role!$A$2:$O$9,10,0)</f>
        <v>0.75</v>
      </c>
      <c r="AS107" s="6" t="n">
        <f aca="false">VLOOKUP($F107,Category!$A$2:$AZ$20,10,0)</f>
        <v>0.555555555555556</v>
      </c>
      <c r="AT107" s="7" t="n">
        <f aca="false">VLOOKUP($F107,Category!$A$2:$AZ$20,14,0)</f>
        <v>0.416666666666667</v>
      </c>
      <c r="AU107" s="7" t="n">
        <f aca="false">VLOOKUP($F107,Category!$A$2:$AZ$20,16,0)</f>
        <v>0.25</v>
      </c>
      <c r="AV107" s="7" t="n">
        <f aca="false">VLOOKUP($D107,Size!$A$2:$Z$13,17,0)</f>
        <v>2</v>
      </c>
      <c r="AW107" s="7" t="n">
        <f aca="false">VLOOKUP($F107,Category!$A$2:$AZ$20,29,0)</f>
        <v>0.333333333333333</v>
      </c>
      <c r="AX107" s="7" t="n">
        <f aca="false">VLOOKUP($F107,Category!$A$2:$AZ$20,31,0)</f>
        <v>0.333333333333333</v>
      </c>
      <c r="AY107" s="7" t="n">
        <f aca="false">VLOOKUP($D107,Size!$A$2:$Z$13,16,0)</f>
        <v>5</v>
      </c>
      <c r="AZ107" s="7" t="n">
        <f aca="false">VLOOKUP($E107,Role!$A$2:$O$9,11,0)</f>
        <v>0.75</v>
      </c>
      <c r="BB107" s="5" t="n">
        <f aca="false">VLOOKUP($D107,Size!$A$2:$Z$13,19,0)</f>
        <v>18</v>
      </c>
      <c r="BC107" s="5" t="n">
        <f aca="false">VLOOKUP($D107,Size!$A$2:$Z$13,20,0)</f>
        <v>8</v>
      </c>
      <c r="BD107" s="5" t="n">
        <f aca="false">VLOOKUP($E107,Role!$A$2:$O$9,13,0)</f>
        <v>0.75</v>
      </c>
      <c r="BE107" s="5" t="n">
        <f aca="false">VLOOKUP($C107,Type!$A$2:$B$4,2,0)</f>
        <v>1</v>
      </c>
    </row>
    <row r="108" customFormat="false" ht="12.8" hidden="false" customHeight="false" outlineLevel="0" collapsed="false">
      <c r="B108" s="2" t="n">
        <v>5</v>
      </c>
      <c r="C108" s="3" t="s">
        <v>51</v>
      </c>
      <c r="D108" s="1" t="s">
        <v>75</v>
      </c>
      <c r="E108" s="1" t="s">
        <v>66</v>
      </c>
      <c r="F108" s="1" t="s">
        <v>67</v>
      </c>
      <c r="G108" s="1" t="s">
        <v>79</v>
      </c>
      <c r="H108" s="4" t="n">
        <f aca="false">VLOOKUP($D108,Size!$A$2:$F$13,6,0)</f>
        <v>6</v>
      </c>
      <c r="J108" s="12" t="n">
        <f aca="false">INT(($B108*$AY108*$AW108*$AZ108)+($B108*$AX108))</f>
        <v>7</v>
      </c>
      <c r="K108" s="4" t="n">
        <f aca="false">ROUND((($B108*$AT108)+($AV108*$AU108)),0)</f>
        <v>3</v>
      </c>
      <c r="L108" s="4" t="n">
        <f aca="false">ROUND((($B108*$AP108)+($B108*$AQ108))*$AR108,0)</f>
        <v>2</v>
      </c>
      <c r="M108" s="4" t="n">
        <f aca="false">ROUND((($B108*$AM108)+($B108*$AN108))*$AO108,0)</f>
        <v>2</v>
      </c>
      <c r="N108" s="4" t="n">
        <f aca="false">ROUND((($B108*$AG108)+($B108*$AH108))*$AI108,0)</f>
        <v>1</v>
      </c>
      <c r="O108" s="4" t="n">
        <f aca="false">ROUND((($B108*$AJ108)+($B108*$AK108))*$AL108,0)</f>
        <v>3</v>
      </c>
      <c r="Q108" s="4" t="n">
        <f aca="false">INT(VLOOKUP($E108,Role!$A$2:$O$9,8,0)*$B108)</f>
        <v>3</v>
      </c>
      <c r="R108" s="4" t="n">
        <f aca="false">INT(VLOOKUP($E108,Role!$A$2:$O$9,9,0)*$B108)</f>
        <v>3</v>
      </c>
      <c r="S108" s="4" t="n">
        <f aca="false">INT(VLOOKUP($E108,Role!$A$2:$P$9,16,0)*$B108*$AS108)</f>
        <v>1</v>
      </c>
      <c r="T108" s="4" t="n">
        <f aca="false">INT(VLOOKUP($D108,Size!$A$2:$Z$13,18,0)*VLOOKUP($E108,Role!$A$2:$O$9,13,0)*$B108/2)</f>
        <v>72</v>
      </c>
      <c r="U108" s="4" t="n">
        <f aca="false">INT(($BB108*$BE108)+($J108*$BC108))</f>
        <v>90</v>
      </c>
      <c r="V108" s="4" t="n">
        <f aca="false">INT((10+$N108)*VLOOKUP($E108,Role!$A$2:$O$9,14,0))</f>
        <v>11</v>
      </c>
      <c r="W108" s="4" t="n">
        <f aca="false">INT($J108*VLOOKUP($E108,Role!$A$2:$O$9,12,0))</f>
        <v>4</v>
      </c>
      <c r="Y108" s="2" t="n">
        <f aca="false">ROUND(MAX($K108,$M108)+(MIN($K108,$M108)*VLOOKUP($E108,Role!$A$2:$O$9,14,0)),0)</f>
        <v>5</v>
      </c>
      <c r="Z108" s="2" t="n">
        <f aca="false">MAX(1,INT(((MIN($J108:$K108)+(MAX($J108:$K108)*$H108*VLOOKUP($E108,Role!$A$2:$O$9,15,0))))*VLOOKUP($G108,Movement!$A$2:$C$7,3,0)))</f>
        <v>67</v>
      </c>
      <c r="AB108" s="5" t="n">
        <f aca="false">INT(5+(($H108-1)/3))</f>
        <v>6</v>
      </c>
      <c r="AC108" s="5" t="n">
        <f aca="false">IF($AB108&lt;$J108,$J108-MAX($AB108,$B108),0)</f>
        <v>1</v>
      </c>
      <c r="AD108" s="5" t="n">
        <f aca="false">(5-ROUND(($H108-1)/3,0))</f>
        <v>3</v>
      </c>
      <c r="AE108" s="5" t="n">
        <f aca="false">IF($AD108&lt;$K108,$K108-MAX($AD108,$B108),0)</f>
        <v>0</v>
      </c>
      <c r="AG108" s="6" t="n">
        <f aca="false">VLOOKUP($F108,Category!$A$2:$AZ$20,24,0)</f>
        <v>0</v>
      </c>
      <c r="AH108" s="6" t="n">
        <f aca="false">VLOOKUP($F108,Category!$A$2:$AZ$20,26,0)</f>
        <v>0.333333333333333</v>
      </c>
      <c r="AI108" s="6" t="n">
        <f aca="false">VLOOKUP($E108,Role!$A$2:$O$9,10,0)</f>
        <v>0.75</v>
      </c>
      <c r="AJ108" s="6" t="n">
        <f aca="false">VLOOKUP($F108,Category!$A$2:$AZ$20,19,0)</f>
        <v>0.0909090909090909</v>
      </c>
      <c r="AK108" s="6" t="n">
        <f aca="false">VLOOKUP($F108,Category!$A$2:$AZ$20,21,0)</f>
        <v>0.545454545454545</v>
      </c>
      <c r="AL108" s="6" t="n">
        <f aca="false">1</f>
        <v>1</v>
      </c>
      <c r="AM108" s="6" t="n">
        <f aca="false">VLOOKUP($F108,Category!$A$2:$AZ$20,19,0)</f>
        <v>0.0909090909090909</v>
      </c>
      <c r="AN108" s="6" t="n">
        <f aca="false">VLOOKUP($F108,Category!$A$2:$AZ$20,21,0)</f>
        <v>0.545454545454545</v>
      </c>
      <c r="AO108" s="6" t="n">
        <f aca="false">VLOOKUP($E108,Role!$A$2:$O$9,10,0)</f>
        <v>0.75</v>
      </c>
      <c r="AP108" s="6" t="n">
        <f aca="false">VLOOKUP($F108,Category!$A$2:$AZ$20,9,0)</f>
        <v>0</v>
      </c>
      <c r="AQ108" s="6" t="n">
        <f aca="false">VLOOKUP($F108,Category!$A$2:$AZ$20,11,0)</f>
        <v>0.555555555555556</v>
      </c>
      <c r="AR108" s="6" t="n">
        <f aca="false">VLOOKUP($E108,Role!$A$2:$O$9,10,0)</f>
        <v>0.75</v>
      </c>
      <c r="AS108" s="6" t="n">
        <f aca="false">VLOOKUP($F108,Category!$A$2:$AZ$20,10,0)</f>
        <v>0.555555555555556</v>
      </c>
      <c r="AT108" s="7" t="n">
        <f aca="false">VLOOKUP($F108,Category!$A$2:$AZ$20,14,0)</f>
        <v>0.416666666666667</v>
      </c>
      <c r="AU108" s="7" t="n">
        <f aca="false">VLOOKUP($F108,Category!$A$2:$AZ$20,16,0)</f>
        <v>0.25</v>
      </c>
      <c r="AV108" s="7" t="n">
        <f aca="false">VLOOKUP($D108,Size!$A$2:$Z$13,17,0)</f>
        <v>2</v>
      </c>
      <c r="AW108" s="7" t="n">
        <f aca="false">VLOOKUP($F108,Category!$A$2:$AZ$20,29,0)</f>
        <v>0.333333333333333</v>
      </c>
      <c r="AX108" s="7" t="n">
        <f aca="false">VLOOKUP($F108,Category!$A$2:$AZ$20,31,0)</f>
        <v>0.333333333333333</v>
      </c>
      <c r="AY108" s="7" t="n">
        <f aca="false">VLOOKUP($D108,Size!$A$2:$Z$13,16,0)</f>
        <v>5</v>
      </c>
      <c r="AZ108" s="7" t="n">
        <f aca="false">VLOOKUP($E108,Role!$A$2:$O$9,11,0)</f>
        <v>0.75</v>
      </c>
      <c r="BB108" s="5" t="n">
        <f aca="false">VLOOKUP($D108,Size!$A$2:$Z$13,19,0)</f>
        <v>20</v>
      </c>
      <c r="BC108" s="5" t="n">
        <f aca="false">VLOOKUP($D108,Size!$A$2:$Z$13,20,0)</f>
        <v>10</v>
      </c>
      <c r="BD108" s="5" t="n">
        <f aca="false">VLOOKUP($E108,Role!$A$2:$O$9,13,0)</f>
        <v>0.75</v>
      </c>
      <c r="BE108" s="5" t="n">
        <f aca="false">VLOOKUP($C108,Type!$A$2:$B$4,2,0)</f>
        <v>1</v>
      </c>
    </row>
    <row r="109" customFormat="false" ht="12.8" hidden="false" customHeight="false" outlineLevel="0" collapsed="false">
      <c r="B109" s="2" t="n">
        <v>5</v>
      </c>
      <c r="C109" s="3" t="s">
        <v>51</v>
      </c>
      <c r="D109" s="1" t="s">
        <v>76</v>
      </c>
      <c r="E109" s="1" t="s">
        <v>66</v>
      </c>
      <c r="F109" s="1" t="s">
        <v>67</v>
      </c>
      <c r="G109" s="1" t="s">
        <v>79</v>
      </c>
      <c r="H109" s="4" t="n">
        <f aca="false">VLOOKUP($D109,Size!$A$2:$F$13,6,0)</f>
        <v>7</v>
      </c>
      <c r="J109" s="12" t="n">
        <f aca="false">INT(($B109*$AY109*$AW109*$AZ109)+($B109*$AX109))</f>
        <v>7</v>
      </c>
      <c r="K109" s="4" t="n">
        <f aca="false">ROUND((($B109*$AT109)+($AV109*$AU109)),0)</f>
        <v>3</v>
      </c>
      <c r="L109" s="4" t="n">
        <f aca="false">ROUND((($B109*$AP109)+($B109*$AQ109))*$AR109,0)</f>
        <v>2</v>
      </c>
      <c r="M109" s="4" t="n">
        <f aca="false">ROUND((($B109*$AM109)+($B109*$AN109))*$AO109,0)</f>
        <v>2</v>
      </c>
      <c r="N109" s="4" t="n">
        <f aca="false">ROUND((($B109*$AG109)+($B109*$AH109))*$AI109,0)</f>
        <v>1</v>
      </c>
      <c r="O109" s="4" t="n">
        <f aca="false">ROUND((($B109*$AJ109)+($B109*$AK109))*$AL109,0)</f>
        <v>3</v>
      </c>
      <c r="Q109" s="4" t="n">
        <f aca="false">INT(VLOOKUP($E109,Role!$A$2:$O$9,8,0)*$B109)</f>
        <v>3</v>
      </c>
      <c r="R109" s="4" t="n">
        <f aca="false">INT(VLOOKUP($E109,Role!$A$2:$O$9,9,0)*$B109)</f>
        <v>3</v>
      </c>
      <c r="S109" s="4" t="n">
        <f aca="false">INT(VLOOKUP($E109,Role!$A$2:$P$9,16,0)*$B109*$AS109)</f>
        <v>1</v>
      </c>
      <c r="T109" s="4" t="n">
        <f aca="false">INT(VLOOKUP($D109,Size!$A$2:$Z$13,18,0)*VLOOKUP($E109,Role!$A$2:$O$9,13,0)*$B109/2)</f>
        <v>87</v>
      </c>
      <c r="U109" s="4" t="n">
        <f aca="false">INT(($BB109*$BE109)+($J109*$BC109))</f>
        <v>106</v>
      </c>
      <c r="V109" s="4" t="n">
        <f aca="false">INT((10+$N109)*VLOOKUP($E109,Role!$A$2:$O$9,14,0))</f>
        <v>11</v>
      </c>
      <c r="W109" s="4" t="n">
        <f aca="false">INT($J109*VLOOKUP($E109,Role!$A$2:$O$9,12,0))</f>
        <v>4</v>
      </c>
      <c r="Y109" s="2" t="n">
        <f aca="false">ROUND(MAX($K109,$M109)+(MIN($K109,$M109)*VLOOKUP($E109,Role!$A$2:$O$9,14,0)),0)</f>
        <v>5</v>
      </c>
      <c r="Z109" s="2" t="n">
        <f aca="false">MAX(1,INT(((MIN($J109:$K109)+(MAX($J109:$K109)*$H109*VLOOKUP($E109,Role!$A$2:$O$9,15,0))))*VLOOKUP($G109,Movement!$A$2:$C$7,3,0)))</f>
        <v>78</v>
      </c>
      <c r="AB109" s="5" t="n">
        <f aca="false">INT(5+(($H109-1)/3))</f>
        <v>7</v>
      </c>
      <c r="AC109" s="5" t="n">
        <f aca="false">IF($AB109&lt;$J109,$J109-MAX($AB109,$B109),0)</f>
        <v>0</v>
      </c>
      <c r="AD109" s="5" t="n">
        <f aca="false">(5-ROUND(($H109-1)/3,0))</f>
        <v>3</v>
      </c>
      <c r="AE109" s="5" t="n">
        <f aca="false">IF($AD109&lt;$K109,$K109-MAX($AD109,$B109),0)</f>
        <v>0</v>
      </c>
      <c r="AG109" s="6" t="n">
        <f aca="false">VLOOKUP($F109,Category!$A$2:$AZ$20,24,0)</f>
        <v>0</v>
      </c>
      <c r="AH109" s="6" t="n">
        <f aca="false">VLOOKUP($F109,Category!$A$2:$AZ$20,26,0)</f>
        <v>0.333333333333333</v>
      </c>
      <c r="AI109" s="6" t="n">
        <f aca="false">VLOOKUP($E109,Role!$A$2:$O$9,10,0)</f>
        <v>0.75</v>
      </c>
      <c r="AJ109" s="6" t="n">
        <f aca="false">VLOOKUP($F109,Category!$A$2:$AZ$20,19,0)</f>
        <v>0.0909090909090909</v>
      </c>
      <c r="AK109" s="6" t="n">
        <f aca="false">VLOOKUP($F109,Category!$A$2:$AZ$20,21,0)</f>
        <v>0.545454545454545</v>
      </c>
      <c r="AL109" s="6" t="n">
        <f aca="false">1</f>
        <v>1</v>
      </c>
      <c r="AM109" s="6" t="n">
        <f aca="false">VLOOKUP($F109,Category!$A$2:$AZ$20,19,0)</f>
        <v>0.0909090909090909</v>
      </c>
      <c r="AN109" s="6" t="n">
        <f aca="false">VLOOKUP($F109,Category!$A$2:$AZ$20,21,0)</f>
        <v>0.545454545454545</v>
      </c>
      <c r="AO109" s="6" t="n">
        <f aca="false">VLOOKUP($E109,Role!$A$2:$O$9,10,0)</f>
        <v>0.75</v>
      </c>
      <c r="AP109" s="6" t="n">
        <f aca="false">VLOOKUP($F109,Category!$A$2:$AZ$20,9,0)</f>
        <v>0</v>
      </c>
      <c r="AQ109" s="6" t="n">
        <f aca="false">VLOOKUP($F109,Category!$A$2:$AZ$20,11,0)</f>
        <v>0.555555555555556</v>
      </c>
      <c r="AR109" s="6" t="n">
        <f aca="false">VLOOKUP($E109,Role!$A$2:$O$9,10,0)</f>
        <v>0.75</v>
      </c>
      <c r="AS109" s="6" t="n">
        <f aca="false">VLOOKUP($F109,Category!$A$2:$AZ$20,10,0)</f>
        <v>0.555555555555556</v>
      </c>
      <c r="AT109" s="7" t="n">
        <f aca="false">VLOOKUP($F109,Category!$A$2:$AZ$20,14,0)</f>
        <v>0.416666666666667</v>
      </c>
      <c r="AU109" s="7" t="n">
        <f aca="false">VLOOKUP($F109,Category!$A$2:$AZ$20,16,0)</f>
        <v>0.25</v>
      </c>
      <c r="AV109" s="7" t="n">
        <f aca="false">VLOOKUP($D109,Size!$A$2:$Z$13,17,0)</f>
        <v>2</v>
      </c>
      <c r="AW109" s="7" t="n">
        <f aca="false">VLOOKUP($F109,Category!$A$2:$AZ$20,29,0)</f>
        <v>0.333333333333333</v>
      </c>
      <c r="AX109" s="7" t="n">
        <f aca="false">VLOOKUP($F109,Category!$A$2:$AZ$20,31,0)</f>
        <v>0.333333333333333</v>
      </c>
      <c r="AY109" s="7" t="n">
        <f aca="false">VLOOKUP($D109,Size!$A$2:$Z$13,16,0)</f>
        <v>5</v>
      </c>
      <c r="AZ109" s="7" t="n">
        <f aca="false">VLOOKUP($E109,Role!$A$2:$O$9,11,0)</f>
        <v>0.75</v>
      </c>
      <c r="BB109" s="5" t="n">
        <f aca="false">VLOOKUP($D109,Size!$A$2:$Z$13,19,0)</f>
        <v>22</v>
      </c>
      <c r="BC109" s="5" t="n">
        <f aca="false">VLOOKUP($D109,Size!$A$2:$Z$13,20,0)</f>
        <v>12</v>
      </c>
      <c r="BD109" s="5" t="n">
        <f aca="false">VLOOKUP($E109,Role!$A$2:$O$9,13,0)</f>
        <v>0.75</v>
      </c>
      <c r="BE109" s="5" t="n">
        <f aca="false">VLOOKUP($C109,Type!$A$2:$B$4,2,0)</f>
        <v>1</v>
      </c>
    </row>
    <row r="110" customFormat="false" ht="12.8" hidden="false" customHeight="false" outlineLevel="0" collapsed="false">
      <c r="C110" s="3" t="s">
        <v>51</v>
      </c>
      <c r="J110" s="12" t="e">
        <f aca="false">INT(($B110*$AY110*$AW110*$AZ110)+($B110*$AX110))</f>
        <v>#N/A</v>
      </c>
      <c r="K110" s="4" t="e">
        <f aca="false">ROUND((($B110*$AT110)+($AV110*$AU110)),0)</f>
        <v>#N/A</v>
      </c>
      <c r="L110" s="4" t="e">
        <f aca="false">ROUND((($B110*$AP110)+($B110*$AQ110))*$AR110,0)</f>
        <v>#N/A</v>
      </c>
      <c r="M110" s="4" t="e">
        <f aca="false">ROUND((($B110*$AM110)+($B110*$AN110))*$AO110,0)</f>
        <v>#N/A</v>
      </c>
      <c r="N110" s="4" t="e">
        <f aca="false">ROUND((($B110*$AG110)+($B110*$AH110))*$AI110,0)</f>
        <v>#N/A</v>
      </c>
      <c r="O110" s="4" t="e">
        <f aca="false">ROUND((($B110*$AJ110)+($B110*$AK110))*$AL110,0)</f>
        <v>#N/A</v>
      </c>
      <c r="S110" s="4" t="e">
        <f aca="false">INT(VLOOKUP($E110,Role!$A$2:$P$9,16,0)*$B110*$AS110)</f>
        <v>#N/A</v>
      </c>
      <c r="U110" s="4" t="e">
        <f aca="false">INT(($BB110*$BE110)+($J110*$BC110))</f>
        <v>#N/A</v>
      </c>
      <c r="AC110" s="5" t="e">
        <f aca="false">IF($AB110&lt;$J110,$J110-MAX($AB110,$B110),0)</f>
        <v>#N/A</v>
      </c>
      <c r="AE110" s="5" t="e">
        <f aca="false">IF($AD110&lt;$K110,$K110-MAX($AD110,$B110),0)</f>
        <v>#N/A</v>
      </c>
      <c r="AG110" s="6" t="e">
        <f aca="false">VLOOKUP($F110,Category!$A$2:$AZ$20,24,0)</f>
        <v>#N/A</v>
      </c>
      <c r="AH110" s="6" t="e">
        <f aca="false">VLOOKUP($F110,Category!$A$2:$AZ$20,26,0)</f>
        <v>#N/A</v>
      </c>
      <c r="AI110" s="6" t="e">
        <f aca="false">VLOOKUP($E110,Role!$A$2:$O$9,10,0)</f>
        <v>#N/A</v>
      </c>
      <c r="AJ110" s="6" t="e">
        <f aca="false">VLOOKUP($F110,Category!$A$2:$AZ$20,19,0)</f>
        <v>#N/A</v>
      </c>
      <c r="AK110" s="6" t="e">
        <f aca="false">VLOOKUP($F110,Category!$A$2:$AZ$20,21,0)</f>
        <v>#N/A</v>
      </c>
      <c r="AL110" s="6" t="n">
        <f aca="false">1</f>
        <v>1</v>
      </c>
      <c r="AM110" s="6" t="e">
        <f aca="false">VLOOKUP($F110,Category!$A$2:$AZ$20,19,0)</f>
        <v>#N/A</v>
      </c>
      <c r="AN110" s="6" t="e">
        <f aca="false">VLOOKUP($F110,Category!$A$2:$AZ$20,21,0)</f>
        <v>#N/A</v>
      </c>
      <c r="AO110" s="6" t="e">
        <f aca="false">VLOOKUP($E110,Role!$A$2:$O$9,10,0)</f>
        <v>#N/A</v>
      </c>
      <c r="AP110" s="6" t="e">
        <f aca="false">VLOOKUP($F110,Category!$A$2:$AZ$20,9,0)</f>
        <v>#N/A</v>
      </c>
      <c r="AQ110" s="6" t="e">
        <f aca="false">VLOOKUP($F110,Category!$A$2:$AZ$20,11,0)</f>
        <v>#N/A</v>
      </c>
      <c r="AR110" s="6" t="e">
        <f aca="false">VLOOKUP($E110,Role!$A$2:$O$9,10,0)</f>
        <v>#N/A</v>
      </c>
      <c r="AS110" s="6" t="e">
        <f aca="false">VLOOKUP($F110,Category!$A$2:$AZ$20,10,0)</f>
        <v>#N/A</v>
      </c>
      <c r="AT110" s="7" t="e">
        <f aca="false">VLOOKUP($F110,Category!$A$2:$AZ$20,14,0)</f>
        <v>#N/A</v>
      </c>
      <c r="AU110" s="7" t="e">
        <f aca="false">VLOOKUP($F110,Category!$A$2:$AZ$20,16,0)</f>
        <v>#N/A</v>
      </c>
      <c r="AV110" s="7" t="e">
        <f aca="false">VLOOKUP($D110,Size!$A$2:$Z$13,17,0)</f>
        <v>#N/A</v>
      </c>
      <c r="AW110" s="7" t="e">
        <f aca="false">VLOOKUP($F110,Category!$A$2:$AZ$20,29,0)</f>
        <v>#N/A</v>
      </c>
      <c r="AX110" s="7" t="e">
        <f aca="false">VLOOKUP($F110,Category!$A$2:$AZ$20,31,0)</f>
        <v>#N/A</v>
      </c>
      <c r="AY110" s="7" t="e">
        <f aca="false">VLOOKUP($D110,Size!$A$2:$Z$13,16,0)</f>
        <v>#N/A</v>
      </c>
      <c r="AZ110" s="7" t="e">
        <f aca="false">VLOOKUP($E110,Role!$A$2:$O$9,11,0)</f>
        <v>#N/A</v>
      </c>
      <c r="BB110" s="5" t="e">
        <f aca="false">VLOOKUP($D110,Size!$A$2:$Z$13,19,0)</f>
        <v>#N/A</v>
      </c>
      <c r="BC110" s="5" t="e">
        <f aca="false">VLOOKUP($D110,Size!$A$2:$Z$13,20,0)</f>
        <v>#N/A</v>
      </c>
      <c r="BD110" s="5" t="e">
        <f aca="false">VLOOKUP($E110,Role!$A$2:$O$9,13,0)</f>
        <v>#N/A</v>
      </c>
      <c r="BE110" s="5" t="n">
        <f aca="false">VLOOKUP($C110,Type!$A$2:$B$4,2,0)</f>
        <v>1</v>
      </c>
    </row>
    <row r="111" customFormat="false" ht="12.8" hidden="false" customHeight="false" outlineLevel="0" collapsed="false">
      <c r="B111" s="2" t="n">
        <v>6</v>
      </c>
      <c r="C111" s="3" t="s">
        <v>51</v>
      </c>
      <c r="D111" s="1" t="s">
        <v>71</v>
      </c>
      <c r="E111" s="1" t="s">
        <v>66</v>
      </c>
      <c r="F111" s="1" t="s">
        <v>64</v>
      </c>
      <c r="G111" s="1" t="s">
        <v>55</v>
      </c>
      <c r="H111" s="4" t="n">
        <f aca="false">VLOOKUP($D111,Size!$A$2:$F$13,6,0)</f>
        <v>2</v>
      </c>
      <c r="J111" s="12" t="n">
        <f aca="false">INT(($B111*$AY111*$AW111*$AZ111)+($B111*$AX111))</f>
        <v>7</v>
      </c>
      <c r="K111" s="4" t="n">
        <f aca="false">ROUND((($B111*$AT111)+($AV111*$AU111)),0)</f>
        <v>4</v>
      </c>
      <c r="L111" s="4" t="n">
        <f aca="false">ROUND((($B111*$AP111)+($B111*$AQ111))*$AR111,0)</f>
        <v>5</v>
      </c>
      <c r="M111" s="4" t="n">
        <f aca="false">ROUND((($B111*$AM111)+($B111*$AN111))*$AO111,0)</f>
        <v>4</v>
      </c>
      <c r="N111" s="4" t="n">
        <f aca="false">ROUND((($B111*$AG111)+($B111*$AH111))*$AI111,0)</f>
        <v>5</v>
      </c>
      <c r="O111" s="4" t="n">
        <f aca="false">ROUND((($B111*$AJ111)+($B111*$AK111))*$AL111,0)</f>
        <v>5</v>
      </c>
      <c r="Q111" s="4" t="n">
        <f aca="false">INT(VLOOKUP($E111,Role!$A$2:$O$9,8,0)*$B111)</f>
        <v>4</v>
      </c>
      <c r="R111" s="4" t="n">
        <f aca="false">INT(VLOOKUP($E111,Role!$A$2:$O$9,9,0)*$B111)</f>
        <v>4</v>
      </c>
      <c r="S111" s="4" t="n">
        <f aca="false">INT(VLOOKUP($E111,Role!$A$2:$P$9,16,0)*$B111*$AS111)</f>
        <v>3</v>
      </c>
      <c r="T111" s="4" t="n">
        <f aca="false">INT(VLOOKUP($D111,Size!$A$2:$Z$13,18,0)*VLOOKUP($E111,Role!$A$2:$O$9,13,0)*$B111/2)</f>
        <v>36</v>
      </c>
      <c r="U111" s="4" t="n">
        <f aca="false">INT(($BB111*$BE111)+($J111*$BC111))</f>
        <v>26</v>
      </c>
      <c r="V111" s="4" t="n">
        <f aca="false">INT((10+$N111)*VLOOKUP($E111,Role!$A$2:$O$9,14,0))</f>
        <v>15</v>
      </c>
      <c r="W111" s="4" t="n">
        <f aca="false">INT($J111*VLOOKUP($E111,Role!$A$2:$O$9,12,0))</f>
        <v>4</v>
      </c>
      <c r="Y111" s="2" t="n">
        <f aca="false">ROUND(MAX($K111,$M111)+(MIN($K111,$M111)*VLOOKUP($E111,Role!$A$2:$O$9,14,0)),0)</f>
        <v>8</v>
      </c>
      <c r="Z111" s="2" t="n">
        <f aca="false">MAX(1,INT(((MIN($J111:$K111)+(MAX($J111:$K111)*$H111*VLOOKUP($E111,Role!$A$2:$O$9,15,0))))*VLOOKUP($G111,Movement!$A$2:$C$7,3,0)))</f>
        <v>18</v>
      </c>
      <c r="AB111" s="5" t="n">
        <f aca="false">INT(5+(($H111-1)/3))</f>
        <v>5</v>
      </c>
      <c r="AC111" s="5" t="n">
        <f aca="false">IF($AB111&lt;$J111,$J111-MAX($AB111,$B111),0)</f>
        <v>1</v>
      </c>
      <c r="AD111" s="5" t="n">
        <f aca="false">(5-ROUND(($H111-1)/3,0))</f>
        <v>5</v>
      </c>
      <c r="AE111" s="5" t="n">
        <f aca="false">IF($AD111&lt;$K111,$K111-MAX($AD111,$B111),0)</f>
        <v>0</v>
      </c>
      <c r="AG111" s="6" t="n">
        <f aca="false">VLOOKUP($F111,Category!$A$2:$AZ$20,24,0)</f>
        <v>0.111111111111111</v>
      </c>
      <c r="AH111" s="6" t="n">
        <f aca="false">VLOOKUP($F111,Category!$A$2:$AZ$20,26,0)</f>
        <v>1</v>
      </c>
      <c r="AI111" s="6" t="n">
        <f aca="false">VLOOKUP($E111,Role!$A$2:$O$9,10,0)</f>
        <v>0.75</v>
      </c>
      <c r="AJ111" s="6" t="n">
        <f aca="false">VLOOKUP($F111,Category!$A$2:$AZ$20,19,0)</f>
        <v>0.0909090909090909</v>
      </c>
      <c r="AK111" s="6" t="n">
        <f aca="false">VLOOKUP($F111,Category!$A$2:$AZ$20,21,0)</f>
        <v>0.818181818181818</v>
      </c>
      <c r="AL111" s="6" t="n">
        <f aca="false">1</f>
        <v>1</v>
      </c>
      <c r="AM111" s="6" t="n">
        <f aca="false">VLOOKUP($F111,Category!$A$2:$AZ$20,19,0)</f>
        <v>0.0909090909090909</v>
      </c>
      <c r="AN111" s="6" t="n">
        <f aca="false">VLOOKUP($F111,Category!$A$2:$AZ$20,21,0)</f>
        <v>0.818181818181818</v>
      </c>
      <c r="AO111" s="6" t="n">
        <f aca="false">VLOOKUP($E111,Role!$A$2:$O$9,10,0)</f>
        <v>0.75</v>
      </c>
      <c r="AP111" s="6" t="n">
        <f aca="false">VLOOKUP($F111,Category!$A$2:$AZ$20,9,0)</f>
        <v>0.111111111111111</v>
      </c>
      <c r="AQ111" s="6" t="n">
        <f aca="false">VLOOKUP($F111,Category!$A$2:$AZ$20,11,0)</f>
        <v>0.888888888888889</v>
      </c>
      <c r="AR111" s="6" t="n">
        <f aca="false">VLOOKUP($E111,Role!$A$2:$O$9,10,0)</f>
        <v>0.75</v>
      </c>
      <c r="AS111" s="6" t="n">
        <f aca="false">VLOOKUP($F111,Category!$A$2:$AZ$20,10,0)</f>
        <v>1</v>
      </c>
      <c r="AT111" s="7" t="n">
        <f aca="false">VLOOKUP($F111,Category!$A$2:$AZ$20,14,0)</f>
        <v>0.333333333333333</v>
      </c>
      <c r="AU111" s="7" t="n">
        <f aca="false">VLOOKUP($F111,Category!$A$2:$AZ$20,16,0)</f>
        <v>0.5</v>
      </c>
      <c r="AV111" s="7" t="n">
        <f aca="false">VLOOKUP($D111,Size!$A$2:$Z$13,17,0)</f>
        <v>3</v>
      </c>
      <c r="AW111" s="7" t="n">
        <f aca="false">VLOOKUP($F111,Category!$A$2:$AZ$20,29,0)</f>
        <v>0.333333333333333</v>
      </c>
      <c r="AX111" s="7" t="n">
        <f aca="false">VLOOKUP($F111,Category!$A$2:$AZ$20,31,0)</f>
        <v>0.555555555555556</v>
      </c>
      <c r="AY111" s="7" t="n">
        <f aca="false">VLOOKUP($D111,Size!$A$2:$Z$13,16,0)</f>
        <v>3</v>
      </c>
      <c r="AZ111" s="7" t="n">
        <f aca="false">VLOOKUP($E111,Role!$A$2:$O$9,11,0)</f>
        <v>0.75</v>
      </c>
      <c r="BB111" s="5" t="n">
        <f aca="false">VLOOKUP($D111,Size!$A$2:$Z$13,19,0)</f>
        <v>12</v>
      </c>
      <c r="BC111" s="5" t="n">
        <f aca="false">VLOOKUP($D111,Size!$A$2:$Z$13,20,0)</f>
        <v>2</v>
      </c>
      <c r="BD111" s="5" t="n">
        <f aca="false">VLOOKUP($E111,Role!$A$2:$O$9,13,0)</f>
        <v>0.75</v>
      </c>
      <c r="BE111" s="5" t="n">
        <f aca="false">VLOOKUP($C111,Type!$A$2:$B$4,2,0)</f>
        <v>1</v>
      </c>
    </row>
    <row r="112" customFormat="false" ht="12.8" hidden="false" customHeight="false" outlineLevel="0" collapsed="false">
      <c r="C112" s="3" t="s">
        <v>51</v>
      </c>
      <c r="S112" s="4" t="e">
        <f aca="false">INT(VLOOKUP($E112,Role!$A$2:$P$9,16,0)*$B112*$AS112)</f>
        <v>#N/A</v>
      </c>
      <c r="U112" s="4" t="e">
        <f aca="false">INT(($BB112*$BE112)+($J112*$BC112))</f>
        <v>#N/A</v>
      </c>
      <c r="AS112" s="6" t="e">
        <f aca="false">VLOOKUP($F112,Category!$A$2:$AZ$20,10,0)</f>
        <v>#N/A</v>
      </c>
      <c r="BB112" s="5" t="e">
        <f aca="false">VLOOKUP($D112,Size!$A$2:$Z$13,19,0)</f>
        <v>#N/A</v>
      </c>
      <c r="BC112" s="5" t="e">
        <f aca="false">VLOOKUP($D112,Size!$A$2:$Z$13,20,0)</f>
        <v>#N/A</v>
      </c>
      <c r="BD112" s="5" t="e">
        <f aca="false">VLOOKUP($E112,Role!$A$2:$O$9,13,0)</f>
        <v>#N/A</v>
      </c>
      <c r="BE112" s="5" t="n">
        <f aca="false">VLOOKUP($C112,Type!$A$2:$B$4,2,0)</f>
        <v>1</v>
      </c>
    </row>
    <row r="113" customFormat="false" ht="12.8" hidden="false" customHeight="false" outlineLevel="0" collapsed="false">
      <c r="B113" s="2" t="n">
        <v>5</v>
      </c>
      <c r="C113" s="3" t="s">
        <v>51</v>
      </c>
      <c r="D113" s="1" t="s">
        <v>65</v>
      </c>
      <c r="E113" s="1" t="s">
        <v>66</v>
      </c>
      <c r="F113" s="1" t="s">
        <v>80</v>
      </c>
      <c r="G113" s="1" t="s">
        <v>79</v>
      </c>
      <c r="H113" s="4" t="n">
        <f aca="false">VLOOKUP($D113,Size!$A$2:$F$13,6,0)</f>
        <v>-3</v>
      </c>
      <c r="J113" s="12" t="n">
        <f aca="false">INT(($B113*$AY113*$AW113*$AZ113)+($B113*$AX113))</f>
        <v>3</v>
      </c>
      <c r="K113" s="4" t="n">
        <f aca="false">ROUND((($B113*$AT113)+($AV113*$AU113)),0)</f>
        <v>3</v>
      </c>
      <c r="L113" s="4" t="n">
        <f aca="false">ROUND((($B113*$AP113)+($B113*$AQ113))*$AR113,0)</f>
        <v>3</v>
      </c>
      <c r="M113" s="4" t="n">
        <f aca="false">ROUND((($B113*$AM113)+($B113*$AN113))*$AO113,0)</f>
        <v>2</v>
      </c>
      <c r="N113" s="4" t="n">
        <f aca="false">ROUND((($B113*$AG113)+($B113*$AH113))*$AI113,0)</f>
        <v>2</v>
      </c>
      <c r="O113" s="4" t="n">
        <f aca="false">ROUND((($B113*$AJ113)+($B113*$AK113))*$AL113,0)</f>
        <v>3</v>
      </c>
      <c r="Q113" s="4" t="n">
        <f aca="false">INT(VLOOKUP($E113,Role!$A$2:$O$9,8,0)*$B113)</f>
        <v>3</v>
      </c>
      <c r="R113" s="4" t="n">
        <f aca="false">INT(VLOOKUP($E113,Role!$A$2:$O$9,9,0)*$B113)</f>
        <v>3</v>
      </c>
      <c r="S113" s="4" t="n">
        <f aca="false">INT(VLOOKUP($E113,Role!$A$2:$P$9,16,0)*$B113*$AS113)</f>
        <v>1</v>
      </c>
      <c r="T113" s="4" t="n">
        <f aca="false">INT(VLOOKUP($D113,Size!$A$2:$Z$13,18,0)*VLOOKUP($E113,Role!$A$2:$O$9,13,0)*$B113/2)</f>
        <v>5</v>
      </c>
      <c r="U113" s="4" t="n">
        <f aca="false">INT(($BB113*$BE113)+($J113*$BC113))</f>
        <v>6</v>
      </c>
      <c r="V113" s="4" t="n">
        <f aca="false">INT((10+$N113)*VLOOKUP($E113,Role!$A$2:$O$9,14,0))</f>
        <v>12</v>
      </c>
      <c r="W113" s="4" t="n">
        <f aca="false">INT($J113*VLOOKUP($E113,Role!$A$2:$O$9,12,0))</f>
        <v>2</v>
      </c>
      <c r="Y113" s="2" t="n">
        <f aca="false">ROUND(MAX($K113,$M113)+(MIN($K113,$M113)*VLOOKUP($E113,Role!$A$2:$O$9,14,0)),0)</f>
        <v>5</v>
      </c>
      <c r="Z113" s="2" t="n">
        <f aca="false">MAX(1,INT(((MIN($J113:$K113)+(MAX($J113:$K113)*$H113*VLOOKUP($E113,Role!$A$2:$O$9,15,0))))*VLOOKUP($G113,Movement!$A$2:$C$7,3,0)))</f>
        <v>1</v>
      </c>
      <c r="AB113" s="5" t="n">
        <f aca="false">INT(5+(($H113-1)/3))</f>
        <v>3</v>
      </c>
      <c r="AC113" s="5" t="n">
        <f aca="false">IF($AB113&lt;$J113,$J113-MAX($AB113,$B113),0)</f>
        <v>0</v>
      </c>
      <c r="AD113" s="5" t="n">
        <f aca="false">(5-ROUND(($H113-1)/3,0))</f>
        <v>6</v>
      </c>
      <c r="AE113" s="5" t="n">
        <f aca="false">IF($AD113&lt;$K113,$K113-MAX($AD113,$B113),0)</f>
        <v>0</v>
      </c>
      <c r="AG113" s="6" t="n">
        <f aca="false">VLOOKUP($F113,Category!$A$2:$AZ$20,24,0)</f>
        <v>0.111111111111111</v>
      </c>
      <c r="AH113" s="6" t="n">
        <f aca="false">VLOOKUP($F113,Category!$A$2:$AZ$20,26,0)</f>
        <v>0.444444444444444</v>
      </c>
      <c r="AI113" s="6" t="n">
        <f aca="false">VLOOKUP($E113,Role!$A$2:$O$9,10,0)</f>
        <v>0.75</v>
      </c>
      <c r="AJ113" s="6" t="n">
        <f aca="false">VLOOKUP($F113,Category!$A$2:$AZ$20,19,0)</f>
        <v>0.0909090909090909</v>
      </c>
      <c r="AK113" s="6" t="n">
        <f aca="false">VLOOKUP($F113,Category!$A$2:$AZ$20,21,0)</f>
        <v>0.545454545454545</v>
      </c>
      <c r="AL113" s="6" t="n">
        <f aca="false">1</f>
        <v>1</v>
      </c>
      <c r="AM113" s="6" t="n">
        <f aca="false">VLOOKUP($F113,Category!$A$2:$AZ$20,19,0)</f>
        <v>0.0909090909090909</v>
      </c>
      <c r="AN113" s="6" t="n">
        <f aca="false">VLOOKUP($F113,Category!$A$2:$AZ$20,21,0)</f>
        <v>0.545454545454545</v>
      </c>
      <c r="AO113" s="6" t="n">
        <f aca="false">VLOOKUP($E113,Role!$A$2:$O$9,10,0)</f>
        <v>0.75</v>
      </c>
      <c r="AP113" s="6" t="n">
        <f aca="false">VLOOKUP($F113,Category!$A$2:$AZ$20,9,0)</f>
        <v>0.222222222222222</v>
      </c>
      <c r="AQ113" s="6" t="n">
        <f aca="false">VLOOKUP($F113,Category!$A$2:$AZ$20,11,0)</f>
        <v>0.444444444444444</v>
      </c>
      <c r="AR113" s="6" t="n">
        <f aca="false">VLOOKUP($E113,Role!$A$2:$O$9,10,0)</f>
        <v>0.75</v>
      </c>
      <c r="AS113" s="6" t="n">
        <f aca="false">VLOOKUP($F113,Category!$A$2:$AZ$20,10,0)</f>
        <v>0.666666666666667</v>
      </c>
      <c r="AT113" s="7" t="n">
        <f aca="false">VLOOKUP($F113,Category!$A$2:$AZ$20,14,0)</f>
        <v>0.416666666666667</v>
      </c>
      <c r="AU113" s="7" t="n">
        <f aca="false">VLOOKUP($F113,Category!$A$2:$AZ$20,16,0)</f>
        <v>0.25</v>
      </c>
      <c r="AV113" s="7" t="n">
        <f aca="false">VLOOKUP($D113,Size!$A$2:$Z$13,17,0)</f>
        <v>4</v>
      </c>
      <c r="AW113" s="7" t="n">
        <f aca="false">VLOOKUP($F113,Category!$A$2:$AZ$20,29,0)</f>
        <v>0.333333333333333</v>
      </c>
      <c r="AX113" s="7" t="n">
        <f aca="false">VLOOKUP($F113,Category!$A$2:$AZ$20,31,0)</f>
        <v>0.444444444444444</v>
      </c>
      <c r="AY113" s="7" t="n">
        <f aca="false">VLOOKUP($D113,Size!$A$2:$Z$13,16,0)</f>
        <v>1</v>
      </c>
      <c r="AZ113" s="7" t="n">
        <f aca="false">VLOOKUP($E113,Role!$A$2:$O$9,11,0)</f>
        <v>0.75</v>
      </c>
      <c r="BB113" s="5" t="n">
        <f aca="false">VLOOKUP($D113,Size!$A$2:$Z$13,19,0)</f>
        <v>6</v>
      </c>
      <c r="BC113" s="5" t="n">
        <f aca="false">VLOOKUP($D113,Size!$A$2:$Z$13,20,0)</f>
        <v>0.33</v>
      </c>
      <c r="BD113" s="5" t="n">
        <f aca="false">VLOOKUP($E113,Role!$A$2:$O$9,13,0)</f>
        <v>0.75</v>
      </c>
      <c r="BE113" s="5" t="n">
        <f aca="false">VLOOKUP($C113,Type!$A$2:$B$4,2,0)</f>
        <v>1</v>
      </c>
    </row>
    <row r="114" customFormat="false" ht="12.8" hidden="false" customHeight="false" outlineLevel="0" collapsed="false">
      <c r="B114" s="2" t="n">
        <v>5</v>
      </c>
      <c r="C114" s="3" t="s">
        <v>51</v>
      </c>
      <c r="D114" s="1" t="s">
        <v>68</v>
      </c>
      <c r="E114" s="1" t="s">
        <v>66</v>
      </c>
      <c r="F114" s="1" t="s">
        <v>80</v>
      </c>
      <c r="G114" s="1" t="s">
        <v>79</v>
      </c>
      <c r="H114" s="4" t="n">
        <f aca="false">VLOOKUP($D114,Size!$A$2:$F$13,6,0)</f>
        <v>-2</v>
      </c>
      <c r="J114" s="12" t="n">
        <f aca="false">INT(($B114*$AY114*$AW114*$AZ114)+($B114*$AX114))</f>
        <v>4</v>
      </c>
      <c r="K114" s="4" t="n">
        <f aca="false">ROUND((($B114*$AT114)+($AV114*$AU114)),0)</f>
        <v>3</v>
      </c>
      <c r="L114" s="4" t="n">
        <f aca="false">ROUND((($B114*$AP114)+($B114*$AQ114))*$AR114,0)</f>
        <v>3</v>
      </c>
      <c r="M114" s="4" t="n">
        <f aca="false">ROUND((($B114*$AM114)+($B114*$AN114))*$AO114,0)</f>
        <v>2</v>
      </c>
      <c r="N114" s="4" t="n">
        <f aca="false">ROUND((($B114*$AG114)+($B114*$AH114))*$AI114,0)</f>
        <v>2</v>
      </c>
      <c r="O114" s="4" t="n">
        <f aca="false">ROUND((($B114*$AJ114)+($B114*$AK114))*$AL114,0)</f>
        <v>3</v>
      </c>
      <c r="Q114" s="4" t="n">
        <f aca="false">INT(VLOOKUP($E114,Role!$A$2:$O$9,8,0)*$B114)</f>
        <v>3</v>
      </c>
      <c r="R114" s="4" t="n">
        <f aca="false">INT(VLOOKUP($E114,Role!$A$2:$O$9,9,0)*$B114)</f>
        <v>3</v>
      </c>
      <c r="S114" s="4" t="n">
        <f aca="false">INT(VLOOKUP($E114,Role!$A$2:$P$9,16,0)*$B114*$AS114)</f>
        <v>1</v>
      </c>
      <c r="T114" s="4" t="n">
        <f aca="false">INT(VLOOKUP($D114,Size!$A$2:$Z$13,18,0)*VLOOKUP($E114,Role!$A$2:$O$9,13,0)*$B114/2)</f>
        <v>12</v>
      </c>
      <c r="U114" s="4" t="n">
        <f aca="false">INT(($BB114*$BE114)+($J114*$BC114))</f>
        <v>9</v>
      </c>
      <c r="V114" s="4" t="n">
        <f aca="false">INT((10+$N114)*VLOOKUP($E114,Role!$A$2:$O$9,14,0))</f>
        <v>12</v>
      </c>
      <c r="W114" s="4" t="n">
        <f aca="false">INT($J114*VLOOKUP($E114,Role!$A$2:$O$9,12,0))</f>
        <v>2</v>
      </c>
      <c r="Y114" s="2" t="n">
        <f aca="false">ROUND(MAX($K114,$M114)+(MIN($K114,$M114)*VLOOKUP($E114,Role!$A$2:$O$9,14,0)),0)</f>
        <v>5</v>
      </c>
      <c r="Z114" s="2" t="n">
        <f aca="false">MAX(1,INT(((MIN($J114:$K114)+(MAX($J114:$K114)*$H114*VLOOKUP($E114,Role!$A$2:$O$9,15,0))))*VLOOKUP($G114,Movement!$A$2:$C$7,3,0)))</f>
        <v>1</v>
      </c>
      <c r="AB114" s="5" t="n">
        <f aca="false">INT(5+(($H114-1)/3))</f>
        <v>4</v>
      </c>
      <c r="AC114" s="5" t="n">
        <f aca="false">IF($AB114&lt;$J114,$J114-MAX($AB114,$B114),0)</f>
        <v>0</v>
      </c>
      <c r="AD114" s="5" t="n">
        <f aca="false">(5-ROUND(($H114-1)/3,0))</f>
        <v>6</v>
      </c>
      <c r="AE114" s="5" t="n">
        <f aca="false">IF($AD114&lt;$K114,$K114-MAX($AD114,$B114),0)</f>
        <v>0</v>
      </c>
      <c r="AG114" s="6" t="n">
        <f aca="false">VLOOKUP($F114,Category!$A$2:$AZ$20,24,0)</f>
        <v>0.111111111111111</v>
      </c>
      <c r="AH114" s="6" t="n">
        <f aca="false">VLOOKUP($F114,Category!$A$2:$AZ$20,26,0)</f>
        <v>0.444444444444444</v>
      </c>
      <c r="AI114" s="6" t="n">
        <f aca="false">VLOOKUP($E114,Role!$A$2:$O$9,10,0)</f>
        <v>0.75</v>
      </c>
      <c r="AJ114" s="6" t="n">
        <f aca="false">VLOOKUP($F114,Category!$A$2:$AZ$20,19,0)</f>
        <v>0.0909090909090909</v>
      </c>
      <c r="AK114" s="6" t="n">
        <f aca="false">VLOOKUP($F114,Category!$A$2:$AZ$20,21,0)</f>
        <v>0.545454545454545</v>
      </c>
      <c r="AL114" s="6" t="n">
        <f aca="false">1</f>
        <v>1</v>
      </c>
      <c r="AM114" s="6" t="n">
        <f aca="false">VLOOKUP($F114,Category!$A$2:$AZ$20,19,0)</f>
        <v>0.0909090909090909</v>
      </c>
      <c r="AN114" s="6" t="n">
        <f aca="false">VLOOKUP($F114,Category!$A$2:$AZ$20,21,0)</f>
        <v>0.545454545454545</v>
      </c>
      <c r="AO114" s="6" t="n">
        <f aca="false">VLOOKUP($E114,Role!$A$2:$O$9,10,0)</f>
        <v>0.75</v>
      </c>
      <c r="AP114" s="6" t="n">
        <f aca="false">VLOOKUP($F114,Category!$A$2:$AZ$20,9,0)</f>
        <v>0.222222222222222</v>
      </c>
      <c r="AQ114" s="6" t="n">
        <f aca="false">VLOOKUP($F114,Category!$A$2:$AZ$20,11,0)</f>
        <v>0.444444444444444</v>
      </c>
      <c r="AR114" s="6" t="n">
        <f aca="false">VLOOKUP($E114,Role!$A$2:$O$9,10,0)</f>
        <v>0.75</v>
      </c>
      <c r="AS114" s="6" t="n">
        <f aca="false">VLOOKUP($F114,Category!$A$2:$AZ$20,10,0)</f>
        <v>0.666666666666667</v>
      </c>
      <c r="AT114" s="7" t="n">
        <f aca="false">VLOOKUP($F114,Category!$A$2:$AZ$20,14,0)</f>
        <v>0.416666666666667</v>
      </c>
      <c r="AU114" s="7" t="n">
        <f aca="false">VLOOKUP($F114,Category!$A$2:$AZ$20,16,0)</f>
        <v>0.25</v>
      </c>
      <c r="AV114" s="7" t="n">
        <f aca="false">VLOOKUP($D114,Size!$A$2:$Z$13,17,0)</f>
        <v>3</v>
      </c>
      <c r="AW114" s="7" t="n">
        <f aca="false">VLOOKUP($F114,Category!$A$2:$AZ$20,29,0)</f>
        <v>0.333333333333333</v>
      </c>
      <c r="AX114" s="7" t="n">
        <f aca="false">VLOOKUP($F114,Category!$A$2:$AZ$20,31,0)</f>
        <v>0.444444444444444</v>
      </c>
      <c r="AY114" s="7" t="n">
        <f aca="false">VLOOKUP($D114,Size!$A$2:$Z$13,16,0)</f>
        <v>2</v>
      </c>
      <c r="AZ114" s="7" t="n">
        <f aca="false">VLOOKUP($E114,Role!$A$2:$O$9,11,0)</f>
        <v>0.75</v>
      </c>
      <c r="BB114" s="5" t="n">
        <f aca="false">VLOOKUP($D114,Size!$A$2:$Z$13,19,0)</f>
        <v>7</v>
      </c>
      <c r="BC114" s="5" t="n">
        <f aca="false">VLOOKUP($D114,Size!$A$2:$Z$13,20,0)</f>
        <v>0.5</v>
      </c>
      <c r="BD114" s="5" t="n">
        <f aca="false">VLOOKUP($E114,Role!$A$2:$O$9,13,0)</f>
        <v>0.75</v>
      </c>
      <c r="BE114" s="5" t="n">
        <f aca="false">VLOOKUP($C114,Type!$A$2:$B$4,2,0)</f>
        <v>1</v>
      </c>
    </row>
    <row r="115" customFormat="false" ht="12.8" hidden="false" customHeight="false" outlineLevel="0" collapsed="false">
      <c r="B115" s="2" t="n">
        <v>5</v>
      </c>
      <c r="C115" s="3" t="s">
        <v>51</v>
      </c>
      <c r="D115" s="1" t="s">
        <v>69</v>
      </c>
      <c r="E115" s="1" t="s">
        <v>66</v>
      </c>
      <c r="F115" s="1" t="s">
        <v>80</v>
      </c>
      <c r="G115" s="1" t="s">
        <v>79</v>
      </c>
      <c r="H115" s="4" t="n">
        <f aca="false">VLOOKUP($D115,Size!$A$2:$F$13,6,0)</f>
        <v>-1</v>
      </c>
      <c r="J115" s="12" t="n">
        <f aca="false">INT(($B115*$AY115*$AW115*$AZ115)+($B115*$AX115))</f>
        <v>4</v>
      </c>
      <c r="K115" s="4" t="n">
        <f aca="false">ROUND((($B115*$AT115)+($AV115*$AU115)),0)</f>
        <v>3</v>
      </c>
      <c r="L115" s="4" t="n">
        <f aca="false">ROUND((($B115*$AP115)+($B115*$AQ115))*$AR115,0)</f>
        <v>3</v>
      </c>
      <c r="M115" s="4" t="n">
        <f aca="false">ROUND((($B115*$AM115)+($B115*$AN115))*$AO115,0)</f>
        <v>2</v>
      </c>
      <c r="N115" s="4" t="n">
        <f aca="false">ROUND((($B115*$AG115)+($B115*$AH115))*$AI115,0)</f>
        <v>2</v>
      </c>
      <c r="O115" s="4" t="n">
        <f aca="false">ROUND((($B115*$AJ115)+($B115*$AK115))*$AL115,0)</f>
        <v>3</v>
      </c>
      <c r="Q115" s="4" t="n">
        <f aca="false">INT(VLOOKUP($E115,Role!$A$2:$O$9,8,0)*$B115)</f>
        <v>3</v>
      </c>
      <c r="R115" s="4" t="n">
        <f aca="false">INT(VLOOKUP($E115,Role!$A$2:$O$9,9,0)*$B115)</f>
        <v>3</v>
      </c>
      <c r="S115" s="4" t="n">
        <f aca="false">INT(VLOOKUP($E115,Role!$A$2:$P$9,16,0)*$B115*$AS115)</f>
        <v>1</v>
      </c>
      <c r="T115" s="4" t="n">
        <f aca="false">INT(VLOOKUP($D115,Size!$A$2:$Z$13,18,0)*VLOOKUP($E115,Role!$A$2:$O$9,13,0)*$B115/2)</f>
        <v>15</v>
      </c>
      <c r="U115" s="4" t="n">
        <f aca="false">INT(($BB115*$BE115)+($J115*$BC115))</f>
        <v>10</v>
      </c>
      <c r="V115" s="4" t="n">
        <f aca="false">INT((10+$N115)*VLOOKUP($E115,Role!$A$2:$O$9,14,0))</f>
        <v>12</v>
      </c>
      <c r="W115" s="4" t="n">
        <f aca="false">INT($J115*VLOOKUP($E115,Role!$A$2:$O$9,12,0))</f>
        <v>2</v>
      </c>
      <c r="Y115" s="2" t="n">
        <f aca="false">ROUND(MAX($K115,$M115)+(MIN($K115,$M115)*VLOOKUP($E115,Role!$A$2:$O$9,14,0)),0)</f>
        <v>5</v>
      </c>
      <c r="Z115" s="2" t="n">
        <f aca="false">MAX(1,INT(((MIN($J115:$K115)+(MAX($J115:$K115)*$H115*VLOOKUP($E115,Role!$A$2:$O$9,15,0))))*VLOOKUP($G115,Movement!$A$2:$C$7,3,0)))</f>
        <v>1</v>
      </c>
      <c r="AB115" s="5" t="n">
        <f aca="false">INT(5+(($H115-1)/3))</f>
        <v>4</v>
      </c>
      <c r="AC115" s="5" t="n">
        <f aca="false">IF($AB115&lt;$J115,$J115-MAX($AB115,$B115),0)</f>
        <v>0</v>
      </c>
      <c r="AD115" s="5" t="n">
        <f aca="false">(5-ROUND(($H115-1)/3,0))</f>
        <v>6</v>
      </c>
      <c r="AE115" s="5" t="n">
        <f aca="false">IF($AD115&lt;$K115,$K115-MAX($AD115,$B115),0)</f>
        <v>0</v>
      </c>
      <c r="AG115" s="6" t="n">
        <f aca="false">VLOOKUP($F115,Category!$A$2:$AZ$20,24,0)</f>
        <v>0.111111111111111</v>
      </c>
      <c r="AH115" s="6" t="n">
        <f aca="false">VLOOKUP($F115,Category!$A$2:$AZ$20,26,0)</f>
        <v>0.444444444444444</v>
      </c>
      <c r="AI115" s="6" t="n">
        <f aca="false">VLOOKUP($E115,Role!$A$2:$O$9,10,0)</f>
        <v>0.75</v>
      </c>
      <c r="AJ115" s="6" t="n">
        <f aca="false">VLOOKUP($F115,Category!$A$2:$AZ$20,19,0)</f>
        <v>0.0909090909090909</v>
      </c>
      <c r="AK115" s="6" t="n">
        <f aca="false">VLOOKUP($F115,Category!$A$2:$AZ$20,21,0)</f>
        <v>0.545454545454545</v>
      </c>
      <c r="AL115" s="6" t="n">
        <f aca="false">1</f>
        <v>1</v>
      </c>
      <c r="AM115" s="6" t="n">
        <f aca="false">VLOOKUP($F115,Category!$A$2:$AZ$20,19,0)</f>
        <v>0.0909090909090909</v>
      </c>
      <c r="AN115" s="6" t="n">
        <f aca="false">VLOOKUP($F115,Category!$A$2:$AZ$20,21,0)</f>
        <v>0.545454545454545</v>
      </c>
      <c r="AO115" s="6" t="n">
        <f aca="false">VLOOKUP($E115,Role!$A$2:$O$9,10,0)</f>
        <v>0.75</v>
      </c>
      <c r="AP115" s="6" t="n">
        <f aca="false">VLOOKUP($F115,Category!$A$2:$AZ$20,9,0)</f>
        <v>0.222222222222222</v>
      </c>
      <c r="AQ115" s="6" t="n">
        <f aca="false">VLOOKUP($F115,Category!$A$2:$AZ$20,11,0)</f>
        <v>0.444444444444444</v>
      </c>
      <c r="AR115" s="6" t="n">
        <f aca="false">VLOOKUP($E115,Role!$A$2:$O$9,10,0)</f>
        <v>0.75</v>
      </c>
      <c r="AS115" s="6" t="n">
        <f aca="false">VLOOKUP($F115,Category!$A$2:$AZ$20,10,0)</f>
        <v>0.666666666666667</v>
      </c>
      <c r="AT115" s="7" t="n">
        <f aca="false">VLOOKUP($F115,Category!$A$2:$AZ$20,14,0)</f>
        <v>0.416666666666667</v>
      </c>
      <c r="AU115" s="7" t="n">
        <f aca="false">VLOOKUP($F115,Category!$A$2:$AZ$20,16,0)</f>
        <v>0.25</v>
      </c>
      <c r="AV115" s="7" t="n">
        <f aca="false">VLOOKUP($D115,Size!$A$2:$Z$13,17,0)</f>
        <v>3</v>
      </c>
      <c r="AW115" s="7" t="n">
        <f aca="false">VLOOKUP($F115,Category!$A$2:$AZ$20,29,0)</f>
        <v>0.333333333333333</v>
      </c>
      <c r="AX115" s="7" t="n">
        <f aca="false">VLOOKUP($F115,Category!$A$2:$AZ$20,31,0)</f>
        <v>0.444444444444444</v>
      </c>
      <c r="AY115" s="7" t="n">
        <f aca="false">VLOOKUP($D115,Size!$A$2:$Z$13,16,0)</f>
        <v>2</v>
      </c>
      <c r="AZ115" s="7" t="n">
        <f aca="false">VLOOKUP($E115,Role!$A$2:$O$9,11,0)</f>
        <v>0.75</v>
      </c>
      <c r="BB115" s="5" t="n">
        <f aca="false">VLOOKUP($D115,Size!$A$2:$Z$13,19,0)</f>
        <v>8</v>
      </c>
      <c r="BC115" s="5" t="n">
        <f aca="false">VLOOKUP($D115,Size!$A$2:$Z$13,20,0)</f>
        <v>0.66</v>
      </c>
      <c r="BD115" s="5" t="n">
        <f aca="false">VLOOKUP($E115,Role!$A$2:$O$9,13,0)</f>
        <v>0.75</v>
      </c>
      <c r="BE115" s="5" t="n">
        <f aca="false">VLOOKUP($C115,Type!$A$2:$B$4,2,0)</f>
        <v>1</v>
      </c>
    </row>
    <row r="116" customFormat="false" ht="12.8" hidden="false" customHeight="false" outlineLevel="0" collapsed="false">
      <c r="B116" s="2" t="n">
        <v>5</v>
      </c>
      <c r="C116" s="3" t="s">
        <v>51</v>
      </c>
      <c r="D116" s="1" t="s">
        <v>70</v>
      </c>
      <c r="E116" s="1" t="s">
        <v>66</v>
      </c>
      <c r="F116" s="1" t="s">
        <v>80</v>
      </c>
      <c r="G116" s="1" t="s">
        <v>79</v>
      </c>
      <c r="H116" s="4" t="n">
        <f aca="false">VLOOKUP($D116,Size!$A$2:$F$13,6,0)</f>
        <v>0</v>
      </c>
      <c r="J116" s="12" t="n">
        <f aca="false">INT(($B116*$AY116*$AW116*$AZ116)+($B116*$AX116))</f>
        <v>4</v>
      </c>
      <c r="K116" s="4" t="n">
        <f aca="false">ROUND((($B116*$AT116)+($AV116*$AU116)),0)</f>
        <v>3</v>
      </c>
      <c r="L116" s="4" t="n">
        <f aca="false">ROUND((($B116*$AP116)+($B116*$AQ116))*$AR116,0)</f>
        <v>3</v>
      </c>
      <c r="M116" s="4" t="n">
        <f aca="false">ROUND((($B116*$AM116)+($B116*$AN116))*$AO116,0)</f>
        <v>2</v>
      </c>
      <c r="N116" s="4" t="n">
        <f aca="false">ROUND((($B116*$AG116)+($B116*$AH116))*$AI116,0)</f>
        <v>2</v>
      </c>
      <c r="O116" s="4" t="n">
        <f aca="false">ROUND((($B116*$AJ116)+($B116*$AK116))*$AL116,0)</f>
        <v>3</v>
      </c>
      <c r="Q116" s="4" t="n">
        <f aca="false">INT(VLOOKUP($E116,Role!$A$2:$O$9,8,0)*$B116)</f>
        <v>3</v>
      </c>
      <c r="R116" s="4" t="n">
        <f aca="false">INT(VLOOKUP($E116,Role!$A$2:$O$9,9,0)*$B116)</f>
        <v>3</v>
      </c>
      <c r="S116" s="4" t="n">
        <f aca="false">INT(VLOOKUP($E116,Role!$A$2:$P$9,16,0)*$B116*$AS116)</f>
        <v>1</v>
      </c>
      <c r="T116" s="4" t="n">
        <f aca="false">INT(VLOOKUP($D116,Size!$A$2:$Z$13,18,0)*VLOOKUP($E116,Role!$A$2:$O$9,13,0)*$B116/2)</f>
        <v>18</v>
      </c>
      <c r="U116" s="4" t="n">
        <f aca="false">INT(($BB116*$BE116)+($J116*$BC116))</f>
        <v>12</v>
      </c>
      <c r="V116" s="4" t="n">
        <f aca="false">INT((10+$N116)*VLOOKUP($E116,Role!$A$2:$O$9,14,0))</f>
        <v>12</v>
      </c>
      <c r="W116" s="4" t="n">
        <f aca="false">INT($J116*VLOOKUP($E116,Role!$A$2:$O$9,12,0))</f>
        <v>2</v>
      </c>
      <c r="Y116" s="2" t="n">
        <f aca="false">ROUND(MAX($K116,$M116)+(MIN($K116,$M116)*VLOOKUP($E116,Role!$A$2:$O$9,14,0)),0)</f>
        <v>5</v>
      </c>
      <c r="Z116" s="2" t="n">
        <f aca="false">MAX(1,INT(((MIN($J116:$K116)+(MAX($J116:$K116)*$H116*VLOOKUP($E116,Role!$A$2:$O$9,15,0))))*VLOOKUP($G116,Movement!$A$2:$C$7,3,0)))</f>
        <v>4</v>
      </c>
      <c r="AB116" s="5" t="n">
        <f aca="false">INT(5+(($H116-1)/3))</f>
        <v>4</v>
      </c>
      <c r="AC116" s="5" t="n">
        <f aca="false">IF($AB116&lt;$J116,$J116-MAX($AB116,$B116),0)</f>
        <v>0</v>
      </c>
      <c r="AD116" s="5" t="n">
        <f aca="false">(5-ROUND(($H116-1)/3,0))</f>
        <v>5</v>
      </c>
      <c r="AE116" s="5" t="n">
        <f aca="false">IF($AD116&lt;$K116,$K116-MAX($AD116,$B116),0)</f>
        <v>0</v>
      </c>
      <c r="AG116" s="6" t="n">
        <f aca="false">VLOOKUP($F116,Category!$A$2:$AZ$20,24,0)</f>
        <v>0.111111111111111</v>
      </c>
      <c r="AH116" s="6" t="n">
        <f aca="false">VLOOKUP($F116,Category!$A$2:$AZ$20,26,0)</f>
        <v>0.444444444444444</v>
      </c>
      <c r="AI116" s="6" t="n">
        <f aca="false">VLOOKUP($E116,Role!$A$2:$O$9,10,0)</f>
        <v>0.75</v>
      </c>
      <c r="AJ116" s="6" t="n">
        <f aca="false">VLOOKUP($F116,Category!$A$2:$AZ$20,19,0)</f>
        <v>0.0909090909090909</v>
      </c>
      <c r="AK116" s="6" t="n">
        <f aca="false">VLOOKUP($F116,Category!$A$2:$AZ$20,21,0)</f>
        <v>0.545454545454545</v>
      </c>
      <c r="AL116" s="6" t="n">
        <f aca="false">1</f>
        <v>1</v>
      </c>
      <c r="AM116" s="6" t="n">
        <f aca="false">VLOOKUP($F116,Category!$A$2:$AZ$20,19,0)</f>
        <v>0.0909090909090909</v>
      </c>
      <c r="AN116" s="6" t="n">
        <f aca="false">VLOOKUP($F116,Category!$A$2:$AZ$20,21,0)</f>
        <v>0.545454545454545</v>
      </c>
      <c r="AO116" s="6" t="n">
        <f aca="false">VLOOKUP($E116,Role!$A$2:$O$9,10,0)</f>
        <v>0.75</v>
      </c>
      <c r="AP116" s="6" t="n">
        <f aca="false">VLOOKUP($F116,Category!$A$2:$AZ$20,9,0)</f>
        <v>0.222222222222222</v>
      </c>
      <c r="AQ116" s="6" t="n">
        <f aca="false">VLOOKUP($F116,Category!$A$2:$AZ$20,11,0)</f>
        <v>0.444444444444444</v>
      </c>
      <c r="AR116" s="6" t="n">
        <f aca="false">VLOOKUP($E116,Role!$A$2:$O$9,10,0)</f>
        <v>0.75</v>
      </c>
      <c r="AS116" s="6" t="n">
        <f aca="false">VLOOKUP($F116,Category!$A$2:$AZ$20,10,0)</f>
        <v>0.666666666666667</v>
      </c>
      <c r="AT116" s="7" t="n">
        <f aca="false">VLOOKUP($F116,Category!$A$2:$AZ$20,14,0)</f>
        <v>0.416666666666667</v>
      </c>
      <c r="AU116" s="7" t="n">
        <f aca="false">VLOOKUP($F116,Category!$A$2:$AZ$20,16,0)</f>
        <v>0.25</v>
      </c>
      <c r="AV116" s="7" t="n">
        <f aca="false">VLOOKUP($D116,Size!$A$2:$Z$13,17,0)</f>
        <v>3</v>
      </c>
      <c r="AW116" s="7" t="n">
        <f aca="false">VLOOKUP($F116,Category!$A$2:$AZ$20,29,0)</f>
        <v>0.333333333333333</v>
      </c>
      <c r="AX116" s="7" t="n">
        <f aca="false">VLOOKUP($F116,Category!$A$2:$AZ$20,31,0)</f>
        <v>0.444444444444444</v>
      </c>
      <c r="AY116" s="7" t="n">
        <f aca="false">VLOOKUP($D116,Size!$A$2:$Z$13,16,0)</f>
        <v>2</v>
      </c>
      <c r="AZ116" s="7" t="n">
        <f aca="false">VLOOKUP($E116,Role!$A$2:$O$9,11,0)</f>
        <v>0.75</v>
      </c>
      <c r="BB116" s="5" t="n">
        <f aca="false">VLOOKUP($D116,Size!$A$2:$Z$13,19,0)</f>
        <v>9</v>
      </c>
      <c r="BC116" s="5" t="n">
        <f aca="false">VLOOKUP($D116,Size!$A$2:$Z$13,20,0)</f>
        <v>0.75</v>
      </c>
      <c r="BD116" s="5" t="n">
        <f aca="false">VLOOKUP($E116,Role!$A$2:$O$9,13,0)</f>
        <v>0.75</v>
      </c>
      <c r="BE116" s="5" t="n">
        <f aca="false">VLOOKUP($C116,Type!$A$2:$B$4,2,0)</f>
        <v>1</v>
      </c>
    </row>
    <row r="117" customFormat="false" ht="12.8" hidden="false" customHeight="false" outlineLevel="0" collapsed="false">
      <c r="B117" s="2" t="n">
        <v>5</v>
      </c>
      <c r="C117" s="3" t="s">
        <v>51</v>
      </c>
      <c r="D117" s="1" t="s">
        <v>52</v>
      </c>
      <c r="E117" s="1" t="s">
        <v>66</v>
      </c>
      <c r="F117" s="1" t="s">
        <v>80</v>
      </c>
      <c r="G117" s="1" t="s">
        <v>79</v>
      </c>
      <c r="H117" s="4" t="n">
        <f aca="false">VLOOKUP($D117,Size!$A$2:$F$13,6,0)</f>
        <v>1</v>
      </c>
      <c r="J117" s="12" t="n">
        <f aca="false">INT(($B117*$AY117*$AW117*$AZ117)+($B117*$AX117))</f>
        <v>5</v>
      </c>
      <c r="K117" s="4" t="n">
        <f aca="false">ROUND((($B117*$AT117)+($AV117*$AU117)),0)</f>
        <v>3</v>
      </c>
      <c r="L117" s="4" t="n">
        <f aca="false">ROUND((($B117*$AP117)+($B117*$AQ117))*$AR117,0)</f>
        <v>3</v>
      </c>
      <c r="M117" s="4" t="n">
        <f aca="false">ROUND((($B117*$AM117)+($B117*$AN117))*$AO117,0)</f>
        <v>2</v>
      </c>
      <c r="N117" s="4" t="n">
        <f aca="false">ROUND((($B117*$AG117)+($B117*$AH117))*$AI117,0)</f>
        <v>2</v>
      </c>
      <c r="O117" s="4" t="n">
        <f aca="false">ROUND((($B117*$AJ117)+($B117*$AK117))*$AL117,0)</f>
        <v>3</v>
      </c>
      <c r="Q117" s="4" t="n">
        <f aca="false">INT(VLOOKUP($E117,Role!$A$2:$O$9,8,0)*$B117)</f>
        <v>3</v>
      </c>
      <c r="R117" s="4" t="n">
        <f aca="false">INT(VLOOKUP($E117,Role!$A$2:$O$9,9,0)*$B117)</f>
        <v>3</v>
      </c>
      <c r="S117" s="4" t="n">
        <f aca="false">INT(VLOOKUP($E117,Role!$A$2:$P$9,16,0)*$B117*$AS117)</f>
        <v>1</v>
      </c>
      <c r="T117" s="4" t="n">
        <f aca="false">INT(VLOOKUP($D117,Size!$A$2:$Z$13,18,0)*VLOOKUP($E117,Role!$A$2:$O$9,13,0)*$B117/2)</f>
        <v>24</v>
      </c>
      <c r="U117" s="4" t="n">
        <f aca="false">INT(($BB117*$BE117)+($J117*$BC117))</f>
        <v>15</v>
      </c>
      <c r="V117" s="4" t="n">
        <f aca="false">INT((10+$N117)*VLOOKUP($E117,Role!$A$2:$O$9,14,0))</f>
        <v>12</v>
      </c>
      <c r="W117" s="4" t="n">
        <f aca="false">INT($J117*VLOOKUP($E117,Role!$A$2:$O$9,12,0))</f>
        <v>3</v>
      </c>
      <c r="Y117" s="2" t="n">
        <f aca="false">ROUND(MAX($K117,$M117)+(MIN($K117,$M117)*VLOOKUP($E117,Role!$A$2:$O$9,14,0)),0)</f>
        <v>5</v>
      </c>
      <c r="Z117" s="2" t="n">
        <f aca="false">MAX(1,INT(((MIN($J117:$K117)+(MAX($J117:$K117)*$H117*VLOOKUP($E117,Role!$A$2:$O$9,15,0))))*VLOOKUP($G117,Movement!$A$2:$C$7,3,0)))</f>
        <v>12</v>
      </c>
      <c r="AB117" s="5" t="n">
        <f aca="false">INT(5+(($H117-1)/3))</f>
        <v>5</v>
      </c>
      <c r="AC117" s="5" t="n">
        <f aca="false">IF($AB117&lt;$J117,$J117-MAX($AB117,$B117),0)</f>
        <v>0</v>
      </c>
      <c r="AD117" s="5" t="n">
        <f aca="false">(5-ROUND(($H117-1)/3,0))</f>
        <v>5</v>
      </c>
      <c r="AE117" s="5" t="n">
        <f aca="false">IF($AD117&lt;$K117,$K117-MAX($AD117,$B117),0)</f>
        <v>0</v>
      </c>
      <c r="AG117" s="6" t="n">
        <f aca="false">VLOOKUP($F117,Category!$A$2:$AZ$20,24,0)</f>
        <v>0.111111111111111</v>
      </c>
      <c r="AH117" s="6" t="n">
        <f aca="false">VLOOKUP($F117,Category!$A$2:$AZ$20,26,0)</f>
        <v>0.444444444444444</v>
      </c>
      <c r="AI117" s="6" t="n">
        <f aca="false">VLOOKUP($E117,Role!$A$2:$O$9,10,0)</f>
        <v>0.75</v>
      </c>
      <c r="AJ117" s="6" t="n">
        <f aca="false">VLOOKUP($F117,Category!$A$2:$AZ$20,19,0)</f>
        <v>0.0909090909090909</v>
      </c>
      <c r="AK117" s="6" t="n">
        <f aca="false">VLOOKUP($F117,Category!$A$2:$AZ$20,21,0)</f>
        <v>0.545454545454545</v>
      </c>
      <c r="AL117" s="6" t="n">
        <f aca="false">1</f>
        <v>1</v>
      </c>
      <c r="AM117" s="6" t="n">
        <f aca="false">VLOOKUP($F117,Category!$A$2:$AZ$20,19,0)</f>
        <v>0.0909090909090909</v>
      </c>
      <c r="AN117" s="6" t="n">
        <f aca="false">VLOOKUP($F117,Category!$A$2:$AZ$20,21,0)</f>
        <v>0.545454545454545</v>
      </c>
      <c r="AO117" s="6" t="n">
        <f aca="false">VLOOKUP($E117,Role!$A$2:$O$9,10,0)</f>
        <v>0.75</v>
      </c>
      <c r="AP117" s="6" t="n">
        <f aca="false">VLOOKUP($F117,Category!$A$2:$AZ$20,9,0)</f>
        <v>0.222222222222222</v>
      </c>
      <c r="AQ117" s="6" t="n">
        <f aca="false">VLOOKUP($F117,Category!$A$2:$AZ$20,11,0)</f>
        <v>0.444444444444444</v>
      </c>
      <c r="AR117" s="6" t="n">
        <f aca="false">VLOOKUP($E117,Role!$A$2:$O$9,10,0)</f>
        <v>0.75</v>
      </c>
      <c r="AS117" s="6" t="n">
        <f aca="false">VLOOKUP($F117,Category!$A$2:$AZ$20,10,0)</f>
        <v>0.666666666666667</v>
      </c>
      <c r="AT117" s="7" t="n">
        <f aca="false">VLOOKUP($F117,Category!$A$2:$AZ$20,14,0)</f>
        <v>0.416666666666667</v>
      </c>
      <c r="AU117" s="7" t="n">
        <f aca="false">VLOOKUP($F117,Category!$A$2:$AZ$20,16,0)</f>
        <v>0.25</v>
      </c>
      <c r="AV117" s="7" t="n">
        <f aca="false">VLOOKUP($D117,Size!$A$2:$Z$13,17,0)</f>
        <v>3</v>
      </c>
      <c r="AW117" s="7" t="n">
        <f aca="false">VLOOKUP($F117,Category!$A$2:$AZ$20,29,0)</f>
        <v>0.333333333333333</v>
      </c>
      <c r="AX117" s="7" t="n">
        <f aca="false">VLOOKUP($F117,Category!$A$2:$AZ$20,31,0)</f>
        <v>0.444444444444444</v>
      </c>
      <c r="AY117" s="7" t="n">
        <f aca="false">VLOOKUP($D117,Size!$A$2:$Z$13,16,0)</f>
        <v>3</v>
      </c>
      <c r="AZ117" s="7" t="n">
        <f aca="false">VLOOKUP($E117,Role!$A$2:$O$9,11,0)</f>
        <v>0.75</v>
      </c>
      <c r="BB117" s="5" t="n">
        <f aca="false">VLOOKUP($D117,Size!$A$2:$Z$13,19,0)</f>
        <v>10</v>
      </c>
      <c r="BC117" s="5" t="n">
        <f aca="false">VLOOKUP($D117,Size!$A$2:$Z$13,20,0)</f>
        <v>1</v>
      </c>
      <c r="BD117" s="5" t="n">
        <f aca="false">VLOOKUP($E117,Role!$A$2:$O$9,13,0)</f>
        <v>0.75</v>
      </c>
      <c r="BE117" s="5" t="n">
        <f aca="false">VLOOKUP($C117,Type!$A$2:$B$4,2,0)</f>
        <v>1</v>
      </c>
    </row>
    <row r="118" customFormat="false" ht="12.8" hidden="false" customHeight="false" outlineLevel="0" collapsed="false">
      <c r="B118" s="2" t="n">
        <v>5</v>
      </c>
      <c r="C118" s="3" t="s">
        <v>51</v>
      </c>
      <c r="D118" s="1" t="s">
        <v>71</v>
      </c>
      <c r="E118" s="1" t="s">
        <v>66</v>
      </c>
      <c r="F118" s="1" t="s">
        <v>80</v>
      </c>
      <c r="G118" s="1" t="s">
        <v>79</v>
      </c>
      <c r="H118" s="4" t="n">
        <f aca="false">VLOOKUP($D118,Size!$A$2:$F$13,6,0)</f>
        <v>2</v>
      </c>
      <c r="J118" s="12" t="n">
        <f aca="false">INT(($B118*$AY118*$AW118*$AZ118)+($B118*$AX118))</f>
        <v>5</v>
      </c>
      <c r="K118" s="4" t="n">
        <f aca="false">ROUND((($B118*$AT118)+($AV118*$AU118)),0)</f>
        <v>3</v>
      </c>
      <c r="L118" s="4" t="n">
        <f aca="false">ROUND((($B118*$AP118)+($B118*$AQ118))*$AR118,0)</f>
        <v>3</v>
      </c>
      <c r="M118" s="4" t="n">
        <f aca="false">ROUND((($B118*$AM118)+($B118*$AN118))*$AO118,0)</f>
        <v>2</v>
      </c>
      <c r="N118" s="4" t="n">
        <f aca="false">ROUND((($B118*$AG118)+($B118*$AH118))*$AI118,0)</f>
        <v>2</v>
      </c>
      <c r="O118" s="4" t="n">
        <f aca="false">ROUND((($B118*$AJ118)+($B118*$AK118))*$AL118,0)</f>
        <v>3</v>
      </c>
      <c r="Q118" s="4" t="n">
        <f aca="false">INT(VLOOKUP($E118,Role!$A$2:$O$9,8,0)*$B118)</f>
        <v>3</v>
      </c>
      <c r="R118" s="4" t="n">
        <f aca="false">INT(VLOOKUP($E118,Role!$A$2:$O$9,9,0)*$B118)</f>
        <v>3</v>
      </c>
      <c r="S118" s="4" t="n">
        <f aca="false">INT(VLOOKUP($E118,Role!$A$2:$P$9,16,0)*$B118*$AS118)</f>
        <v>1</v>
      </c>
      <c r="T118" s="4" t="n">
        <f aca="false">INT(VLOOKUP($D118,Size!$A$2:$Z$13,18,0)*VLOOKUP($E118,Role!$A$2:$O$9,13,0)*$B118/2)</f>
        <v>30</v>
      </c>
      <c r="U118" s="4" t="n">
        <f aca="false">INT(($BB118*$BE118)+($J118*$BC118))</f>
        <v>22</v>
      </c>
      <c r="V118" s="4" t="n">
        <f aca="false">INT((10+$N118)*VLOOKUP($E118,Role!$A$2:$O$9,14,0))</f>
        <v>12</v>
      </c>
      <c r="W118" s="4" t="n">
        <f aca="false">INT($J118*VLOOKUP($E118,Role!$A$2:$O$9,12,0))</f>
        <v>3</v>
      </c>
      <c r="Y118" s="2" t="n">
        <f aca="false">ROUND(MAX($K118,$M118)+(MIN($K118,$M118)*VLOOKUP($E118,Role!$A$2:$O$9,14,0)),0)</f>
        <v>5</v>
      </c>
      <c r="Z118" s="2" t="n">
        <f aca="false">MAX(1,INT(((MIN($J118:$K118)+(MAX($J118:$K118)*$H118*VLOOKUP($E118,Role!$A$2:$O$9,15,0))))*VLOOKUP($G118,Movement!$A$2:$C$7,3,0)))</f>
        <v>19</v>
      </c>
      <c r="AB118" s="5" t="n">
        <f aca="false">INT(5+(($H118-1)/3))</f>
        <v>5</v>
      </c>
      <c r="AC118" s="5" t="n">
        <f aca="false">IF($AB118&lt;$J118,$J118-MAX($AB118,$B118),0)</f>
        <v>0</v>
      </c>
      <c r="AD118" s="5" t="n">
        <f aca="false">(5-ROUND(($H118-1)/3,0))</f>
        <v>5</v>
      </c>
      <c r="AE118" s="5" t="n">
        <f aca="false">IF($AD118&lt;$K118,$K118-MAX($AD118,$B118),0)</f>
        <v>0</v>
      </c>
      <c r="AG118" s="6" t="n">
        <f aca="false">VLOOKUP($F118,Category!$A$2:$AZ$20,24,0)</f>
        <v>0.111111111111111</v>
      </c>
      <c r="AH118" s="6" t="n">
        <f aca="false">VLOOKUP($F118,Category!$A$2:$AZ$20,26,0)</f>
        <v>0.444444444444444</v>
      </c>
      <c r="AI118" s="6" t="n">
        <f aca="false">VLOOKUP($E118,Role!$A$2:$O$9,10,0)</f>
        <v>0.75</v>
      </c>
      <c r="AJ118" s="6" t="n">
        <f aca="false">VLOOKUP($F118,Category!$A$2:$AZ$20,19,0)</f>
        <v>0.0909090909090909</v>
      </c>
      <c r="AK118" s="6" t="n">
        <f aca="false">VLOOKUP($F118,Category!$A$2:$AZ$20,21,0)</f>
        <v>0.545454545454545</v>
      </c>
      <c r="AL118" s="6" t="n">
        <f aca="false">1</f>
        <v>1</v>
      </c>
      <c r="AM118" s="6" t="n">
        <f aca="false">VLOOKUP($F118,Category!$A$2:$AZ$20,19,0)</f>
        <v>0.0909090909090909</v>
      </c>
      <c r="AN118" s="6" t="n">
        <f aca="false">VLOOKUP($F118,Category!$A$2:$AZ$20,21,0)</f>
        <v>0.545454545454545</v>
      </c>
      <c r="AO118" s="6" t="n">
        <f aca="false">VLOOKUP($E118,Role!$A$2:$O$9,10,0)</f>
        <v>0.75</v>
      </c>
      <c r="AP118" s="6" t="n">
        <f aca="false">VLOOKUP($F118,Category!$A$2:$AZ$20,9,0)</f>
        <v>0.222222222222222</v>
      </c>
      <c r="AQ118" s="6" t="n">
        <f aca="false">VLOOKUP($F118,Category!$A$2:$AZ$20,11,0)</f>
        <v>0.444444444444444</v>
      </c>
      <c r="AR118" s="6" t="n">
        <f aca="false">VLOOKUP($E118,Role!$A$2:$O$9,10,0)</f>
        <v>0.75</v>
      </c>
      <c r="AS118" s="6" t="n">
        <f aca="false">VLOOKUP($F118,Category!$A$2:$AZ$20,10,0)</f>
        <v>0.666666666666667</v>
      </c>
      <c r="AT118" s="7" t="n">
        <f aca="false">VLOOKUP($F118,Category!$A$2:$AZ$20,14,0)</f>
        <v>0.416666666666667</v>
      </c>
      <c r="AU118" s="7" t="n">
        <f aca="false">VLOOKUP($F118,Category!$A$2:$AZ$20,16,0)</f>
        <v>0.25</v>
      </c>
      <c r="AV118" s="7" t="n">
        <f aca="false">VLOOKUP($D118,Size!$A$2:$Z$13,17,0)</f>
        <v>3</v>
      </c>
      <c r="AW118" s="7" t="n">
        <f aca="false">VLOOKUP($F118,Category!$A$2:$AZ$20,29,0)</f>
        <v>0.333333333333333</v>
      </c>
      <c r="AX118" s="7" t="n">
        <f aca="false">VLOOKUP($F118,Category!$A$2:$AZ$20,31,0)</f>
        <v>0.444444444444444</v>
      </c>
      <c r="AY118" s="7" t="n">
        <f aca="false">VLOOKUP($D118,Size!$A$2:$Z$13,16,0)</f>
        <v>3</v>
      </c>
      <c r="AZ118" s="7" t="n">
        <f aca="false">VLOOKUP($E118,Role!$A$2:$O$9,11,0)</f>
        <v>0.75</v>
      </c>
      <c r="BB118" s="5" t="n">
        <f aca="false">VLOOKUP($D118,Size!$A$2:$Z$13,19,0)</f>
        <v>12</v>
      </c>
      <c r="BC118" s="5" t="n">
        <f aca="false">VLOOKUP($D118,Size!$A$2:$Z$13,20,0)</f>
        <v>2</v>
      </c>
      <c r="BD118" s="5" t="n">
        <f aca="false">VLOOKUP($E118,Role!$A$2:$O$9,13,0)</f>
        <v>0.75</v>
      </c>
      <c r="BE118" s="5" t="n">
        <f aca="false">VLOOKUP($C118,Type!$A$2:$B$4,2,0)</f>
        <v>1</v>
      </c>
    </row>
    <row r="119" customFormat="false" ht="12.8" hidden="false" customHeight="false" outlineLevel="0" collapsed="false">
      <c r="B119" s="2" t="n">
        <v>5</v>
      </c>
      <c r="C119" s="3" t="s">
        <v>51</v>
      </c>
      <c r="D119" s="1" t="s">
        <v>72</v>
      </c>
      <c r="E119" s="1" t="s">
        <v>66</v>
      </c>
      <c r="F119" s="1" t="s">
        <v>80</v>
      </c>
      <c r="G119" s="1" t="s">
        <v>79</v>
      </c>
      <c r="H119" s="4" t="n">
        <f aca="false">VLOOKUP($D119,Size!$A$2:$F$13,6,0)</f>
        <v>3</v>
      </c>
      <c r="J119" s="12" t="n">
        <f aca="false">INT(($B119*$AY119*$AW119*$AZ119)+($B119*$AX119))</f>
        <v>7</v>
      </c>
      <c r="K119" s="4" t="n">
        <f aca="false">ROUND((($B119*$AT119)+($AV119*$AU119)),0)</f>
        <v>3</v>
      </c>
      <c r="L119" s="4" t="n">
        <f aca="false">ROUND((($B119*$AP119)+($B119*$AQ119))*$AR119,0)</f>
        <v>3</v>
      </c>
      <c r="M119" s="4" t="n">
        <f aca="false">ROUND((($B119*$AM119)+($B119*$AN119))*$AO119,0)</f>
        <v>2</v>
      </c>
      <c r="N119" s="4" t="n">
        <f aca="false">ROUND((($B119*$AG119)+($B119*$AH119))*$AI119,0)</f>
        <v>2</v>
      </c>
      <c r="O119" s="4" t="n">
        <f aca="false">ROUND((($B119*$AJ119)+($B119*$AK119))*$AL119,0)</f>
        <v>3</v>
      </c>
      <c r="Q119" s="4" t="n">
        <f aca="false">INT(VLOOKUP($E119,Role!$A$2:$O$9,8,0)*$B119)</f>
        <v>3</v>
      </c>
      <c r="R119" s="4" t="n">
        <f aca="false">INT(VLOOKUP($E119,Role!$A$2:$O$9,9,0)*$B119)</f>
        <v>3</v>
      </c>
      <c r="S119" s="4" t="n">
        <f aca="false">INT(VLOOKUP($E119,Role!$A$2:$P$9,16,0)*$B119*$AS119)</f>
        <v>1</v>
      </c>
      <c r="T119" s="4" t="n">
        <f aca="false">INT(VLOOKUP($D119,Size!$A$2:$Z$13,18,0)*VLOOKUP($E119,Role!$A$2:$O$9,13,0)*$B119/2)</f>
        <v>40</v>
      </c>
      <c r="U119" s="4" t="n">
        <f aca="false">INT(($BB119*$BE119)+($J119*$BC119))</f>
        <v>42</v>
      </c>
      <c r="V119" s="4" t="n">
        <f aca="false">INT((10+$N119)*VLOOKUP($E119,Role!$A$2:$O$9,14,0))</f>
        <v>12</v>
      </c>
      <c r="W119" s="4" t="n">
        <f aca="false">INT($J119*VLOOKUP($E119,Role!$A$2:$O$9,12,0))</f>
        <v>4</v>
      </c>
      <c r="Y119" s="2" t="n">
        <f aca="false">ROUND(MAX($K119,$M119)+(MIN($K119,$M119)*VLOOKUP($E119,Role!$A$2:$O$9,14,0)),0)</f>
        <v>5</v>
      </c>
      <c r="Z119" s="2" t="n">
        <f aca="false">MAX(1,INT(((MIN($J119:$K119)+(MAX($J119:$K119)*$H119*VLOOKUP($E119,Role!$A$2:$O$9,15,0))))*VLOOKUP($G119,Movement!$A$2:$C$7,3,0)))</f>
        <v>36</v>
      </c>
      <c r="AB119" s="5" t="n">
        <f aca="false">INT(5+(($H119-1)/3))</f>
        <v>5</v>
      </c>
      <c r="AC119" s="5" t="n">
        <f aca="false">IF($AB119&lt;$J119,$J119-MAX($AB119,$B119),0)</f>
        <v>2</v>
      </c>
      <c r="AD119" s="5" t="n">
        <f aca="false">(5-ROUND(($H119-1)/3,0))</f>
        <v>4</v>
      </c>
      <c r="AE119" s="5" t="n">
        <f aca="false">IF($AD119&lt;$K119,$K119-MAX($AD119,$B119),0)</f>
        <v>0</v>
      </c>
      <c r="AG119" s="6" t="n">
        <f aca="false">VLOOKUP($F119,Category!$A$2:$AZ$20,24,0)</f>
        <v>0.111111111111111</v>
      </c>
      <c r="AH119" s="6" t="n">
        <f aca="false">VLOOKUP($F119,Category!$A$2:$AZ$20,26,0)</f>
        <v>0.444444444444444</v>
      </c>
      <c r="AI119" s="6" t="n">
        <f aca="false">VLOOKUP($E119,Role!$A$2:$O$9,10,0)</f>
        <v>0.75</v>
      </c>
      <c r="AJ119" s="6" t="n">
        <f aca="false">VLOOKUP($F119,Category!$A$2:$AZ$20,19,0)</f>
        <v>0.0909090909090909</v>
      </c>
      <c r="AK119" s="6" t="n">
        <f aca="false">VLOOKUP($F119,Category!$A$2:$AZ$20,21,0)</f>
        <v>0.545454545454545</v>
      </c>
      <c r="AL119" s="6" t="n">
        <f aca="false">1</f>
        <v>1</v>
      </c>
      <c r="AM119" s="6" t="n">
        <f aca="false">VLOOKUP($F119,Category!$A$2:$AZ$20,19,0)</f>
        <v>0.0909090909090909</v>
      </c>
      <c r="AN119" s="6" t="n">
        <f aca="false">VLOOKUP($F119,Category!$A$2:$AZ$20,21,0)</f>
        <v>0.545454545454545</v>
      </c>
      <c r="AO119" s="6" t="n">
        <f aca="false">VLOOKUP($E119,Role!$A$2:$O$9,10,0)</f>
        <v>0.75</v>
      </c>
      <c r="AP119" s="6" t="n">
        <f aca="false">VLOOKUP($F119,Category!$A$2:$AZ$20,9,0)</f>
        <v>0.222222222222222</v>
      </c>
      <c r="AQ119" s="6" t="n">
        <f aca="false">VLOOKUP($F119,Category!$A$2:$AZ$20,11,0)</f>
        <v>0.444444444444444</v>
      </c>
      <c r="AR119" s="6" t="n">
        <f aca="false">VLOOKUP($E119,Role!$A$2:$O$9,10,0)</f>
        <v>0.75</v>
      </c>
      <c r="AS119" s="6" t="n">
        <f aca="false">VLOOKUP($F119,Category!$A$2:$AZ$20,10,0)</f>
        <v>0.666666666666667</v>
      </c>
      <c r="AT119" s="7" t="n">
        <f aca="false">VLOOKUP($F119,Category!$A$2:$AZ$20,14,0)</f>
        <v>0.416666666666667</v>
      </c>
      <c r="AU119" s="7" t="n">
        <f aca="false">VLOOKUP($F119,Category!$A$2:$AZ$20,16,0)</f>
        <v>0.25</v>
      </c>
      <c r="AV119" s="7" t="n">
        <f aca="false">VLOOKUP($D119,Size!$A$2:$Z$13,17,0)</f>
        <v>2</v>
      </c>
      <c r="AW119" s="7" t="n">
        <f aca="false">VLOOKUP($F119,Category!$A$2:$AZ$20,29,0)</f>
        <v>0.333333333333333</v>
      </c>
      <c r="AX119" s="7" t="n">
        <f aca="false">VLOOKUP($F119,Category!$A$2:$AZ$20,31,0)</f>
        <v>0.444444444444444</v>
      </c>
      <c r="AY119" s="7" t="n">
        <f aca="false">VLOOKUP($D119,Size!$A$2:$Z$13,16,0)</f>
        <v>4</v>
      </c>
      <c r="AZ119" s="7" t="n">
        <f aca="false">VLOOKUP($E119,Role!$A$2:$O$9,11,0)</f>
        <v>0.75</v>
      </c>
      <c r="BB119" s="5" t="n">
        <f aca="false">VLOOKUP($D119,Size!$A$2:$Z$13,19,0)</f>
        <v>14</v>
      </c>
      <c r="BC119" s="5" t="n">
        <f aca="false">VLOOKUP($D119,Size!$A$2:$Z$13,20,0)</f>
        <v>4</v>
      </c>
      <c r="BD119" s="5" t="n">
        <f aca="false">VLOOKUP($E119,Role!$A$2:$O$9,13,0)</f>
        <v>0.75</v>
      </c>
      <c r="BE119" s="5" t="n">
        <f aca="false">VLOOKUP($C119,Type!$A$2:$B$4,2,0)</f>
        <v>1</v>
      </c>
    </row>
    <row r="120" customFormat="false" ht="12.8" hidden="false" customHeight="false" outlineLevel="0" collapsed="false">
      <c r="B120" s="2" t="n">
        <v>5</v>
      </c>
      <c r="C120" s="3" t="s">
        <v>51</v>
      </c>
      <c r="D120" s="1" t="s">
        <v>73</v>
      </c>
      <c r="E120" s="1" t="s">
        <v>66</v>
      </c>
      <c r="F120" s="1" t="s">
        <v>80</v>
      </c>
      <c r="G120" s="1" t="s">
        <v>79</v>
      </c>
      <c r="H120" s="4" t="n">
        <f aca="false">VLOOKUP($D120,Size!$A$2:$F$13,6,0)</f>
        <v>4</v>
      </c>
      <c r="J120" s="12" t="n">
        <f aca="false">INT(($B120*$AY120*$AW120*$AZ120)+($B120*$AX120))</f>
        <v>7</v>
      </c>
      <c r="K120" s="4" t="n">
        <f aca="false">ROUND((($B120*$AT120)+($AV120*$AU120)),0)</f>
        <v>3</v>
      </c>
      <c r="L120" s="4" t="n">
        <f aca="false">ROUND((($B120*$AP120)+($B120*$AQ120))*$AR120,0)</f>
        <v>3</v>
      </c>
      <c r="M120" s="4" t="n">
        <f aca="false">ROUND((($B120*$AM120)+($B120*$AN120))*$AO120,0)</f>
        <v>2</v>
      </c>
      <c r="N120" s="4" t="n">
        <f aca="false">ROUND((($B120*$AG120)+($B120*$AH120))*$AI120,0)</f>
        <v>2</v>
      </c>
      <c r="O120" s="4" t="n">
        <f aca="false">ROUND((($B120*$AJ120)+($B120*$AK120))*$AL120,0)</f>
        <v>3</v>
      </c>
      <c r="Q120" s="4" t="n">
        <f aca="false">INT(VLOOKUP($E120,Role!$A$2:$O$9,8,0)*$B120)</f>
        <v>3</v>
      </c>
      <c r="R120" s="4" t="n">
        <f aca="false">INT(VLOOKUP($E120,Role!$A$2:$O$9,9,0)*$B120)</f>
        <v>3</v>
      </c>
      <c r="S120" s="4" t="n">
        <f aca="false">INT(VLOOKUP($E120,Role!$A$2:$P$9,16,0)*$B120*$AS120)</f>
        <v>1</v>
      </c>
      <c r="T120" s="4" t="n">
        <f aca="false">INT(VLOOKUP($D120,Size!$A$2:$Z$13,18,0)*VLOOKUP($E120,Role!$A$2:$O$9,13,0)*$B120/2)</f>
        <v>47</v>
      </c>
      <c r="U120" s="4" t="n">
        <f aca="false">INT(($BB120*$BE120)+($J120*$BC120))</f>
        <v>37</v>
      </c>
      <c r="V120" s="4" t="n">
        <f aca="false">INT((10+$N120)*VLOOKUP($E120,Role!$A$2:$O$9,14,0))</f>
        <v>12</v>
      </c>
      <c r="W120" s="4" t="n">
        <f aca="false">INT($J120*VLOOKUP($E120,Role!$A$2:$O$9,12,0))</f>
        <v>4</v>
      </c>
      <c r="Y120" s="2" t="n">
        <f aca="false">ROUND(MAX($K120,$M120)+(MIN($K120,$M120)*VLOOKUP($E120,Role!$A$2:$O$9,14,0)),0)</f>
        <v>5</v>
      </c>
      <c r="Z120" s="2" t="n">
        <f aca="false">MAX(1,INT(((MIN($J120:$K120)+(MAX($J120:$K120)*$H120*VLOOKUP($E120,Role!$A$2:$O$9,15,0))))*VLOOKUP($G120,Movement!$A$2:$C$7,3,0)))</f>
        <v>46</v>
      </c>
      <c r="AB120" s="5" t="n">
        <f aca="false">INT(5+(($H120-1)/3))</f>
        <v>6</v>
      </c>
      <c r="AC120" s="5" t="n">
        <f aca="false">IF($AB120&lt;$J120,$J120-MAX($AB120,$B120),0)</f>
        <v>1</v>
      </c>
      <c r="AD120" s="5" t="n">
        <f aca="false">(5-ROUND(($H120-1)/3,0))</f>
        <v>4</v>
      </c>
      <c r="AE120" s="5" t="n">
        <f aca="false">IF($AD120&lt;$K120,$K120-MAX($AD120,$B120),0)</f>
        <v>0</v>
      </c>
      <c r="AG120" s="6" t="n">
        <f aca="false">VLOOKUP($F120,Category!$A$2:$AZ$20,24,0)</f>
        <v>0.111111111111111</v>
      </c>
      <c r="AH120" s="6" t="n">
        <f aca="false">VLOOKUP($F120,Category!$A$2:$AZ$20,26,0)</f>
        <v>0.444444444444444</v>
      </c>
      <c r="AI120" s="6" t="n">
        <f aca="false">VLOOKUP($E120,Role!$A$2:$O$9,10,0)</f>
        <v>0.75</v>
      </c>
      <c r="AJ120" s="6" t="n">
        <f aca="false">VLOOKUP($F120,Category!$A$2:$AZ$20,19,0)</f>
        <v>0.0909090909090909</v>
      </c>
      <c r="AK120" s="6" t="n">
        <f aca="false">VLOOKUP($F120,Category!$A$2:$AZ$20,21,0)</f>
        <v>0.545454545454545</v>
      </c>
      <c r="AL120" s="6" t="n">
        <f aca="false">1</f>
        <v>1</v>
      </c>
      <c r="AM120" s="6" t="n">
        <f aca="false">VLOOKUP($F120,Category!$A$2:$AZ$20,19,0)</f>
        <v>0.0909090909090909</v>
      </c>
      <c r="AN120" s="6" t="n">
        <f aca="false">VLOOKUP($F120,Category!$A$2:$AZ$20,21,0)</f>
        <v>0.545454545454545</v>
      </c>
      <c r="AO120" s="6" t="n">
        <f aca="false">VLOOKUP($E120,Role!$A$2:$O$9,10,0)</f>
        <v>0.75</v>
      </c>
      <c r="AP120" s="6" t="n">
        <f aca="false">VLOOKUP($F120,Category!$A$2:$AZ$20,9,0)</f>
        <v>0.222222222222222</v>
      </c>
      <c r="AQ120" s="6" t="n">
        <f aca="false">VLOOKUP($F120,Category!$A$2:$AZ$20,11,0)</f>
        <v>0.444444444444444</v>
      </c>
      <c r="AR120" s="6" t="n">
        <f aca="false">VLOOKUP($E120,Role!$A$2:$O$9,10,0)</f>
        <v>0.75</v>
      </c>
      <c r="AS120" s="6" t="n">
        <f aca="false">VLOOKUP($F120,Category!$A$2:$AZ$20,10,0)</f>
        <v>0.666666666666667</v>
      </c>
      <c r="AT120" s="7" t="n">
        <f aca="false">VLOOKUP($F120,Category!$A$2:$AZ$20,14,0)</f>
        <v>0.416666666666667</v>
      </c>
      <c r="AU120" s="7" t="n">
        <f aca="false">VLOOKUP($F120,Category!$A$2:$AZ$20,16,0)</f>
        <v>0.25</v>
      </c>
      <c r="AV120" s="7" t="n">
        <f aca="false">VLOOKUP($D120,Size!$A$2:$Z$13,17,0)</f>
        <v>2</v>
      </c>
      <c r="AW120" s="7" t="n">
        <f aca="false">VLOOKUP($F120,Category!$A$2:$AZ$20,29,0)</f>
        <v>0.333333333333333</v>
      </c>
      <c r="AX120" s="7" t="n">
        <f aca="false">VLOOKUP($F120,Category!$A$2:$AZ$20,31,0)</f>
        <v>0.444444444444444</v>
      </c>
      <c r="AY120" s="7" t="n">
        <f aca="false">VLOOKUP($D120,Size!$A$2:$Z$13,16,0)</f>
        <v>4</v>
      </c>
      <c r="AZ120" s="7" t="n">
        <f aca="false">VLOOKUP($E120,Role!$A$2:$O$9,11,0)</f>
        <v>0.75</v>
      </c>
      <c r="BB120" s="5" t="n">
        <f aca="false">VLOOKUP($D120,Size!$A$2:$Z$13,19,0)</f>
        <v>16</v>
      </c>
      <c r="BC120" s="5" t="n">
        <f aca="false">VLOOKUP($D120,Size!$A$2:$Z$13,20,0)</f>
        <v>3</v>
      </c>
      <c r="BD120" s="5" t="n">
        <f aca="false">VLOOKUP($E120,Role!$A$2:$O$9,13,0)</f>
        <v>0.75</v>
      </c>
      <c r="BE120" s="5" t="n">
        <f aca="false">VLOOKUP($C120,Type!$A$2:$B$4,2,0)</f>
        <v>1</v>
      </c>
    </row>
    <row r="121" customFormat="false" ht="12.8" hidden="false" customHeight="false" outlineLevel="0" collapsed="false">
      <c r="B121" s="2" t="n">
        <v>5</v>
      </c>
      <c r="C121" s="3" t="s">
        <v>51</v>
      </c>
      <c r="D121" s="1" t="s">
        <v>74</v>
      </c>
      <c r="E121" s="1" t="s">
        <v>66</v>
      </c>
      <c r="F121" s="1" t="s">
        <v>80</v>
      </c>
      <c r="G121" s="1" t="s">
        <v>79</v>
      </c>
      <c r="H121" s="4" t="n">
        <f aca="false">VLOOKUP($D121,Size!$A$2:$F$13,6,0)</f>
        <v>5</v>
      </c>
      <c r="J121" s="12" t="n">
        <f aca="false">INT(($B121*$AY121*$AW121*$AZ121)+($B121*$AX121))</f>
        <v>8</v>
      </c>
      <c r="K121" s="4" t="n">
        <f aca="false">ROUND((($B121*$AT121)+($AV121*$AU121)),0)</f>
        <v>3</v>
      </c>
      <c r="L121" s="4" t="n">
        <f aca="false">ROUND((($B121*$AP121)+($B121*$AQ121))*$AR121,0)</f>
        <v>3</v>
      </c>
      <c r="M121" s="4" t="n">
        <f aca="false">ROUND((($B121*$AM121)+($B121*$AN121))*$AO121,0)</f>
        <v>2</v>
      </c>
      <c r="N121" s="4" t="n">
        <f aca="false">ROUND((($B121*$AG121)+($B121*$AH121))*$AI121,0)</f>
        <v>2</v>
      </c>
      <c r="O121" s="4" t="n">
        <f aca="false">ROUND((($B121*$AJ121)+($B121*$AK121))*$AL121,0)</f>
        <v>3</v>
      </c>
      <c r="Q121" s="4" t="n">
        <f aca="false">INT(VLOOKUP($E121,Role!$A$2:$O$9,8,0)*$B121)</f>
        <v>3</v>
      </c>
      <c r="R121" s="4" t="n">
        <f aca="false">INT(VLOOKUP($E121,Role!$A$2:$O$9,9,0)*$B121)</f>
        <v>3</v>
      </c>
      <c r="S121" s="4" t="n">
        <f aca="false">INT(VLOOKUP($E121,Role!$A$2:$P$9,16,0)*$B121*$AS121)</f>
        <v>1</v>
      </c>
      <c r="T121" s="4" t="n">
        <f aca="false">INT(VLOOKUP($D121,Size!$A$2:$Z$13,18,0)*VLOOKUP($E121,Role!$A$2:$O$9,13,0)*$B121/2)</f>
        <v>58</v>
      </c>
      <c r="U121" s="4" t="n">
        <f aca="false">INT(($BB121*$BE121)+($J121*$BC121))</f>
        <v>82</v>
      </c>
      <c r="V121" s="4" t="n">
        <f aca="false">INT((10+$N121)*VLOOKUP($E121,Role!$A$2:$O$9,14,0))</f>
        <v>12</v>
      </c>
      <c r="W121" s="4" t="n">
        <f aca="false">INT($J121*VLOOKUP($E121,Role!$A$2:$O$9,12,0))</f>
        <v>5</v>
      </c>
      <c r="Y121" s="2" t="n">
        <f aca="false">ROUND(MAX($K121,$M121)+(MIN($K121,$M121)*VLOOKUP($E121,Role!$A$2:$O$9,14,0)),0)</f>
        <v>5</v>
      </c>
      <c r="Z121" s="2" t="n">
        <f aca="false">MAX(1,INT(((MIN($J121:$K121)+(MAX($J121:$K121)*$H121*VLOOKUP($E121,Role!$A$2:$O$9,15,0))))*VLOOKUP($G121,Movement!$A$2:$C$7,3,0)))</f>
        <v>64</v>
      </c>
      <c r="AB121" s="5" t="n">
        <f aca="false">INT(5+(($H121-1)/3))</f>
        <v>6</v>
      </c>
      <c r="AC121" s="5" t="n">
        <f aca="false">IF($AB121&lt;$J121,$J121-MAX($AB121,$B121),0)</f>
        <v>2</v>
      </c>
      <c r="AD121" s="5" t="n">
        <f aca="false">(5-ROUND(($H121-1)/3,0))</f>
        <v>4</v>
      </c>
      <c r="AE121" s="5" t="n">
        <f aca="false">IF($AD121&lt;$K121,$K121-MAX($AD121,$B121),0)</f>
        <v>0</v>
      </c>
      <c r="AG121" s="6" t="n">
        <f aca="false">VLOOKUP($F121,Category!$A$2:$AZ$20,24,0)</f>
        <v>0.111111111111111</v>
      </c>
      <c r="AH121" s="6" t="n">
        <f aca="false">VLOOKUP($F121,Category!$A$2:$AZ$20,26,0)</f>
        <v>0.444444444444444</v>
      </c>
      <c r="AI121" s="6" t="n">
        <f aca="false">VLOOKUP($E121,Role!$A$2:$O$9,10,0)</f>
        <v>0.75</v>
      </c>
      <c r="AJ121" s="6" t="n">
        <f aca="false">VLOOKUP($F121,Category!$A$2:$AZ$20,19,0)</f>
        <v>0.0909090909090909</v>
      </c>
      <c r="AK121" s="6" t="n">
        <f aca="false">VLOOKUP($F121,Category!$A$2:$AZ$20,21,0)</f>
        <v>0.545454545454545</v>
      </c>
      <c r="AL121" s="6" t="n">
        <f aca="false">1</f>
        <v>1</v>
      </c>
      <c r="AM121" s="6" t="n">
        <f aca="false">VLOOKUP($F121,Category!$A$2:$AZ$20,19,0)</f>
        <v>0.0909090909090909</v>
      </c>
      <c r="AN121" s="6" t="n">
        <f aca="false">VLOOKUP($F121,Category!$A$2:$AZ$20,21,0)</f>
        <v>0.545454545454545</v>
      </c>
      <c r="AO121" s="6" t="n">
        <f aca="false">VLOOKUP($E121,Role!$A$2:$O$9,10,0)</f>
        <v>0.75</v>
      </c>
      <c r="AP121" s="6" t="n">
        <f aca="false">VLOOKUP($F121,Category!$A$2:$AZ$20,9,0)</f>
        <v>0.222222222222222</v>
      </c>
      <c r="AQ121" s="6" t="n">
        <f aca="false">VLOOKUP($F121,Category!$A$2:$AZ$20,11,0)</f>
        <v>0.444444444444444</v>
      </c>
      <c r="AR121" s="6" t="n">
        <f aca="false">VLOOKUP($E121,Role!$A$2:$O$9,10,0)</f>
        <v>0.75</v>
      </c>
      <c r="AS121" s="6" t="n">
        <f aca="false">VLOOKUP($F121,Category!$A$2:$AZ$20,10,0)</f>
        <v>0.666666666666667</v>
      </c>
      <c r="AT121" s="7" t="n">
        <f aca="false">VLOOKUP($F121,Category!$A$2:$AZ$20,14,0)</f>
        <v>0.416666666666667</v>
      </c>
      <c r="AU121" s="7" t="n">
        <f aca="false">VLOOKUP($F121,Category!$A$2:$AZ$20,16,0)</f>
        <v>0.25</v>
      </c>
      <c r="AV121" s="7" t="n">
        <f aca="false">VLOOKUP($D121,Size!$A$2:$Z$13,17,0)</f>
        <v>2</v>
      </c>
      <c r="AW121" s="7" t="n">
        <f aca="false">VLOOKUP($F121,Category!$A$2:$AZ$20,29,0)</f>
        <v>0.333333333333333</v>
      </c>
      <c r="AX121" s="7" t="n">
        <f aca="false">VLOOKUP($F121,Category!$A$2:$AZ$20,31,0)</f>
        <v>0.444444444444444</v>
      </c>
      <c r="AY121" s="7" t="n">
        <f aca="false">VLOOKUP($D121,Size!$A$2:$Z$13,16,0)</f>
        <v>5</v>
      </c>
      <c r="AZ121" s="7" t="n">
        <f aca="false">VLOOKUP($E121,Role!$A$2:$O$9,11,0)</f>
        <v>0.75</v>
      </c>
      <c r="BB121" s="5" t="n">
        <f aca="false">VLOOKUP($D121,Size!$A$2:$Z$13,19,0)</f>
        <v>18</v>
      </c>
      <c r="BC121" s="5" t="n">
        <f aca="false">VLOOKUP($D121,Size!$A$2:$Z$13,20,0)</f>
        <v>8</v>
      </c>
      <c r="BD121" s="5" t="n">
        <f aca="false">VLOOKUP($E121,Role!$A$2:$O$9,13,0)</f>
        <v>0.75</v>
      </c>
      <c r="BE121" s="5" t="n">
        <f aca="false">VLOOKUP($C121,Type!$A$2:$B$4,2,0)</f>
        <v>1</v>
      </c>
    </row>
    <row r="122" customFormat="false" ht="12.8" hidden="false" customHeight="false" outlineLevel="0" collapsed="false">
      <c r="B122" s="2" t="n">
        <v>5</v>
      </c>
      <c r="C122" s="3" t="s">
        <v>51</v>
      </c>
      <c r="D122" s="1" t="s">
        <v>75</v>
      </c>
      <c r="E122" s="1" t="s">
        <v>66</v>
      </c>
      <c r="F122" s="1" t="s">
        <v>80</v>
      </c>
      <c r="G122" s="1" t="s">
        <v>79</v>
      </c>
      <c r="H122" s="4" t="n">
        <f aca="false">VLOOKUP($D122,Size!$A$2:$F$13,6,0)</f>
        <v>6</v>
      </c>
      <c r="J122" s="12" t="n">
        <f aca="false">INT(($B122*$AY122*$AW122*$AZ122)+($B122*$AX122))</f>
        <v>8</v>
      </c>
      <c r="K122" s="4" t="n">
        <f aca="false">ROUND((($B122*$AT122)+($AV122*$AU122)),0)</f>
        <v>3</v>
      </c>
      <c r="L122" s="4" t="n">
        <f aca="false">ROUND((($B122*$AP122)+($B122*$AQ122))*$AR122,0)</f>
        <v>3</v>
      </c>
      <c r="M122" s="4" t="n">
        <f aca="false">ROUND((($B122*$AM122)+($B122*$AN122))*$AO122,0)</f>
        <v>2</v>
      </c>
      <c r="N122" s="4" t="n">
        <f aca="false">ROUND((($B122*$AG122)+($B122*$AH122))*$AI122,0)</f>
        <v>2</v>
      </c>
      <c r="O122" s="4" t="n">
        <f aca="false">ROUND((($B122*$AJ122)+($B122*$AK122))*$AL122,0)</f>
        <v>3</v>
      </c>
      <c r="Q122" s="4" t="n">
        <f aca="false">INT(VLOOKUP($E122,Role!$A$2:$O$9,8,0)*$B122)</f>
        <v>3</v>
      </c>
      <c r="R122" s="4" t="n">
        <f aca="false">INT(VLOOKUP($E122,Role!$A$2:$O$9,9,0)*$B122)</f>
        <v>3</v>
      </c>
      <c r="S122" s="4" t="n">
        <f aca="false">INT(VLOOKUP($E122,Role!$A$2:$P$9,16,0)*$B122*$AS122)</f>
        <v>1</v>
      </c>
      <c r="T122" s="4" t="n">
        <f aca="false">INT(VLOOKUP($D122,Size!$A$2:$Z$13,18,0)*VLOOKUP($E122,Role!$A$2:$O$9,13,0)*$B122/2)</f>
        <v>72</v>
      </c>
      <c r="U122" s="4" t="n">
        <f aca="false">INT(($BB122*$BE122)+($J122*$BC122))</f>
        <v>100</v>
      </c>
      <c r="V122" s="4" t="n">
        <f aca="false">INT((10+$N122)*VLOOKUP($E122,Role!$A$2:$O$9,14,0))</f>
        <v>12</v>
      </c>
      <c r="W122" s="4" t="n">
        <f aca="false">INT($J122*VLOOKUP($E122,Role!$A$2:$O$9,12,0))</f>
        <v>5</v>
      </c>
      <c r="Y122" s="2" t="n">
        <f aca="false">ROUND(MAX($K122,$M122)+(MIN($K122,$M122)*VLOOKUP($E122,Role!$A$2:$O$9,14,0)),0)</f>
        <v>5</v>
      </c>
      <c r="Z122" s="2" t="n">
        <f aca="false">MAX(1,INT(((MIN($J122:$K122)+(MAX($J122:$K122)*$H122*VLOOKUP($E122,Role!$A$2:$O$9,15,0))))*VLOOKUP($G122,Movement!$A$2:$C$7,3,0)))</f>
        <v>76</v>
      </c>
      <c r="AB122" s="5" t="n">
        <f aca="false">INT(5+(($H122-1)/3))</f>
        <v>6</v>
      </c>
      <c r="AC122" s="5" t="n">
        <f aca="false">IF($AB122&lt;$J122,$J122-MAX($AB122,$B122),0)</f>
        <v>2</v>
      </c>
      <c r="AD122" s="5" t="n">
        <f aca="false">(5-ROUND(($H122-1)/3,0))</f>
        <v>3</v>
      </c>
      <c r="AE122" s="5" t="n">
        <f aca="false">IF($AD122&lt;$K122,$K122-MAX($AD122,$B122),0)</f>
        <v>0</v>
      </c>
      <c r="AG122" s="6" t="n">
        <f aca="false">VLOOKUP($F122,Category!$A$2:$AZ$20,24,0)</f>
        <v>0.111111111111111</v>
      </c>
      <c r="AH122" s="6" t="n">
        <f aca="false">VLOOKUP($F122,Category!$A$2:$AZ$20,26,0)</f>
        <v>0.444444444444444</v>
      </c>
      <c r="AI122" s="6" t="n">
        <f aca="false">VLOOKUP($E122,Role!$A$2:$O$9,10,0)</f>
        <v>0.75</v>
      </c>
      <c r="AJ122" s="6" t="n">
        <f aca="false">VLOOKUP($F122,Category!$A$2:$AZ$20,19,0)</f>
        <v>0.0909090909090909</v>
      </c>
      <c r="AK122" s="6" t="n">
        <f aca="false">VLOOKUP($F122,Category!$A$2:$AZ$20,21,0)</f>
        <v>0.545454545454545</v>
      </c>
      <c r="AL122" s="6" t="n">
        <f aca="false">1</f>
        <v>1</v>
      </c>
      <c r="AM122" s="6" t="n">
        <f aca="false">VLOOKUP($F122,Category!$A$2:$AZ$20,19,0)</f>
        <v>0.0909090909090909</v>
      </c>
      <c r="AN122" s="6" t="n">
        <f aca="false">VLOOKUP($F122,Category!$A$2:$AZ$20,21,0)</f>
        <v>0.545454545454545</v>
      </c>
      <c r="AO122" s="6" t="n">
        <f aca="false">VLOOKUP($E122,Role!$A$2:$O$9,10,0)</f>
        <v>0.75</v>
      </c>
      <c r="AP122" s="6" t="n">
        <f aca="false">VLOOKUP($F122,Category!$A$2:$AZ$20,9,0)</f>
        <v>0.222222222222222</v>
      </c>
      <c r="AQ122" s="6" t="n">
        <f aca="false">VLOOKUP($F122,Category!$A$2:$AZ$20,11,0)</f>
        <v>0.444444444444444</v>
      </c>
      <c r="AR122" s="6" t="n">
        <f aca="false">VLOOKUP($E122,Role!$A$2:$O$9,10,0)</f>
        <v>0.75</v>
      </c>
      <c r="AS122" s="6" t="n">
        <f aca="false">VLOOKUP($F122,Category!$A$2:$AZ$20,10,0)</f>
        <v>0.666666666666667</v>
      </c>
      <c r="AT122" s="7" t="n">
        <f aca="false">VLOOKUP($F122,Category!$A$2:$AZ$20,14,0)</f>
        <v>0.416666666666667</v>
      </c>
      <c r="AU122" s="7" t="n">
        <f aca="false">VLOOKUP($F122,Category!$A$2:$AZ$20,16,0)</f>
        <v>0.25</v>
      </c>
      <c r="AV122" s="7" t="n">
        <f aca="false">VLOOKUP($D122,Size!$A$2:$Z$13,17,0)</f>
        <v>2</v>
      </c>
      <c r="AW122" s="7" t="n">
        <f aca="false">VLOOKUP($F122,Category!$A$2:$AZ$20,29,0)</f>
        <v>0.333333333333333</v>
      </c>
      <c r="AX122" s="7" t="n">
        <f aca="false">VLOOKUP($F122,Category!$A$2:$AZ$20,31,0)</f>
        <v>0.444444444444444</v>
      </c>
      <c r="AY122" s="7" t="n">
        <f aca="false">VLOOKUP($D122,Size!$A$2:$Z$13,16,0)</f>
        <v>5</v>
      </c>
      <c r="AZ122" s="7" t="n">
        <f aca="false">VLOOKUP($E122,Role!$A$2:$O$9,11,0)</f>
        <v>0.75</v>
      </c>
      <c r="BB122" s="5" t="n">
        <f aca="false">VLOOKUP($D122,Size!$A$2:$Z$13,19,0)</f>
        <v>20</v>
      </c>
      <c r="BC122" s="5" t="n">
        <f aca="false">VLOOKUP($D122,Size!$A$2:$Z$13,20,0)</f>
        <v>10</v>
      </c>
      <c r="BD122" s="5" t="n">
        <f aca="false">VLOOKUP($E122,Role!$A$2:$O$9,13,0)</f>
        <v>0.75</v>
      </c>
      <c r="BE122" s="5" t="n">
        <f aca="false">VLOOKUP($C122,Type!$A$2:$B$4,2,0)</f>
        <v>1</v>
      </c>
    </row>
    <row r="123" customFormat="false" ht="12.8" hidden="false" customHeight="false" outlineLevel="0" collapsed="false">
      <c r="B123" s="2" t="n">
        <v>5</v>
      </c>
      <c r="C123" s="3" t="s">
        <v>51</v>
      </c>
      <c r="D123" s="1" t="s">
        <v>76</v>
      </c>
      <c r="E123" s="1" t="s">
        <v>66</v>
      </c>
      <c r="F123" s="1" t="s">
        <v>80</v>
      </c>
      <c r="G123" s="1" t="s">
        <v>79</v>
      </c>
      <c r="H123" s="4" t="n">
        <f aca="false">VLOOKUP($D123,Size!$A$2:$F$13,6,0)</f>
        <v>7</v>
      </c>
      <c r="J123" s="12" t="n">
        <f aca="false">INT(($B123*$AY123*$AW123*$AZ123)+($B123*$AX123))</f>
        <v>8</v>
      </c>
      <c r="K123" s="4" t="n">
        <f aca="false">ROUND((($B123*$AT123)+($AV123*$AU123)),0)</f>
        <v>3</v>
      </c>
      <c r="L123" s="4" t="n">
        <f aca="false">ROUND((($B123*$AP123)+($B123*$AQ123))*$AR123,0)</f>
        <v>3</v>
      </c>
      <c r="M123" s="4" t="n">
        <f aca="false">ROUND((($B123*$AM123)+($B123*$AN123))*$AO123,0)</f>
        <v>2</v>
      </c>
      <c r="N123" s="4" t="n">
        <f aca="false">ROUND((($B123*$AG123)+($B123*$AH123))*$AI123,0)</f>
        <v>2</v>
      </c>
      <c r="O123" s="4" t="n">
        <f aca="false">ROUND((($B123*$AJ123)+($B123*$AK123))*$AL123,0)</f>
        <v>3</v>
      </c>
      <c r="Q123" s="4" t="n">
        <f aca="false">INT(VLOOKUP($E123,Role!$A$2:$O$9,8,0)*$B123)</f>
        <v>3</v>
      </c>
      <c r="R123" s="4" t="n">
        <f aca="false">INT(VLOOKUP($E123,Role!$A$2:$O$9,9,0)*$B123)</f>
        <v>3</v>
      </c>
      <c r="S123" s="4" t="n">
        <f aca="false">INT(VLOOKUP($E123,Role!$A$2:$P$9,16,0)*$B123*$AS123)</f>
        <v>1</v>
      </c>
      <c r="T123" s="4" t="n">
        <f aca="false">INT(VLOOKUP($D123,Size!$A$2:$Z$13,18,0)*VLOOKUP($E123,Role!$A$2:$O$9,13,0)*$B123/2)</f>
        <v>87</v>
      </c>
      <c r="U123" s="4" t="n">
        <f aca="false">INT(($BB123*$BE123)+($J123*$BC123))</f>
        <v>118</v>
      </c>
      <c r="V123" s="4" t="n">
        <f aca="false">INT((10+$N123)*VLOOKUP($E123,Role!$A$2:$O$9,14,0))</f>
        <v>12</v>
      </c>
      <c r="W123" s="4" t="n">
        <f aca="false">INT($J123*VLOOKUP($E123,Role!$A$2:$O$9,12,0))</f>
        <v>5</v>
      </c>
      <c r="Y123" s="2" t="n">
        <f aca="false">ROUND(MAX($K123,$M123)+(MIN($K123,$M123)*VLOOKUP($E123,Role!$A$2:$O$9,14,0)),0)</f>
        <v>5</v>
      </c>
      <c r="Z123" s="2" t="n">
        <f aca="false">MAX(1,INT(((MIN($J123:$K123)+(MAX($J123:$K123)*$H123*VLOOKUP($E123,Role!$A$2:$O$9,15,0))))*VLOOKUP($G123,Movement!$A$2:$C$7,3,0)))</f>
        <v>88</v>
      </c>
      <c r="AB123" s="5" t="n">
        <f aca="false">INT(5+(($H123-1)/3))</f>
        <v>7</v>
      </c>
      <c r="AC123" s="5" t="n">
        <f aca="false">IF($AB123&lt;$J123,$J123-MAX($AB123,$B123),0)</f>
        <v>1</v>
      </c>
      <c r="AD123" s="5" t="n">
        <f aca="false">(5-ROUND(($H123-1)/3,0))</f>
        <v>3</v>
      </c>
      <c r="AE123" s="5" t="n">
        <f aca="false">IF($AD123&lt;$K123,$K123-MAX($AD123,$B123),0)</f>
        <v>0</v>
      </c>
      <c r="AG123" s="6" t="n">
        <f aca="false">VLOOKUP($F123,Category!$A$2:$AZ$20,24,0)</f>
        <v>0.111111111111111</v>
      </c>
      <c r="AH123" s="6" t="n">
        <f aca="false">VLOOKUP($F123,Category!$A$2:$AZ$20,26,0)</f>
        <v>0.444444444444444</v>
      </c>
      <c r="AI123" s="6" t="n">
        <f aca="false">VLOOKUP($E123,Role!$A$2:$O$9,10,0)</f>
        <v>0.75</v>
      </c>
      <c r="AJ123" s="6" t="n">
        <f aca="false">VLOOKUP($F123,Category!$A$2:$AZ$20,19,0)</f>
        <v>0.0909090909090909</v>
      </c>
      <c r="AK123" s="6" t="n">
        <f aca="false">VLOOKUP($F123,Category!$A$2:$AZ$20,21,0)</f>
        <v>0.545454545454545</v>
      </c>
      <c r="AL123" s="6" t="n">
        <f aca="false">1</f>
        <v>1</v>
      </c>
      <c r="AM123" s="6" t="n">
        <f aca="false">VLOOKUP($F123,Category!$A$2:$AZ$20,19,0)</f>
        <v>0.0909090909090909</v>
      </c>
      <c r="AN123" s="6" t="n">
        <f aca="false">VLOOKUP($F123,Category!$A$2:$AZ$20,21,0)</f>
        <v>0.545454545454545</v>
      </c>
      <c r="AO123" s="6" t="n">
        <f aca="false">VLOOKUP($E123,Role!$A$2:$O$9,10,0)</f>
        <v>0.75</v>
      </c>
      <c r="AP123" s="6" t="n">
        <f aca="false">VLOOKUP($F123,Category!$A$2:$AZ$20,9,0)</f>
        <v>0.222222222222222</v>
      </c>
      <c r="AQ123" s="6" t="n">
        <f aca="false">VLOOKUP($F123,Category!$A$2:$AZ$20,11,0)</f>
        <v>0.444444444444444</v>
      </c>
      <c r="AR123" s="6" t="n">
        <f aca="false">VLOOKUP($E123,Role!$A$2:$O$9,10,0)</f>
        <v>0.75</v>
      </c>
      <c r="AS123" s="6" t="n">
        <f aca="false">VLOOKUP($F123,Category!$A$2:$AZ$20,10,0)</f>
        <v>0.666666666666667</v>
      </c>
      <c r="AT123" s="7" t="n">
        <f aca="false">VLOOKUP($F123,Category!$A$2:$AZ$20,14,0)</f>
        <v>0.416666666666667</v>
      </c>
      <c r="AU123" s="7" t="n">
        <f aca="false">VLOOKUP($F123,Category!$A$2:$AZ$20,16,0)</f>
        <v>0.25</v>
      </c>
      <c r="AV123" s="7" t="n">
        <f aca="false">VLOOKUP($D123,Size!$A$2:$Z$13,17,0)</f>
        <v>2</v>
      </c>
      <c r="AW123" s="7" t="n">
        <f aca="false">VLOOKUP($F123,Category!$A$2:$AZ$20,29,0)</f>
        <v>0.333333333333333</v>
      </c>
      <c r="AX123" s="7" t="n">
        <f aca="false">VLOOKUP($F123,Category!$A$2:$AZ$20,31,0)</f>
        <v>0.444444444444444</v>
      </c>
      <c r="AY123" s="7" t="n">
        <f aca="false">VLOOKUP($D123,Size!$A$2:$Z$13,16,0)</f>
        <v>5</v>
      </c>
      <c r="AZ123" s="7" t="n">
        <f aca="false">VLOOKUP($E123,Role!$A$2:$O$9,11,0)</f>
        <v>0.75</v>
      </c>
      <c r="BB123" s="5" t="n">
        <f aca="false">VLOOKUP($D123,Size!$A$2:$Z$13,19,0)</f>
        <v>22</v>
      </c>
      <c r="BC123" s="5" t="n">
        <f aca="false">VLOOKUP($D123,Size!$A$2:$Z$13,20,0)</f>
        <v>12</v>
      </c>
      <c r="BD123" s="5" t="n">
        <f aca="false">VLOOKUP($E123,Role!$A$2:$O$9,13,0)</f>
        <v>0.75</v>
      </c>
      <c r="BE123" s="5" t="n">
        <f aca="false">VLOOKUP($C123,Type!$A$2:$B$4,2,0)</f>
        <v>1</v>
      </c>
    </row>
    <row r="124" customFormat="false" ht="12.8" hidden="false" customHeight="false" outlineLevel="0" collapsed="false">
      <c r="C124" s="3" t="s">
        <v>51</v>
      </c>
      <c r="U124" s="4" t="e">
        <f aca="false">INT(($BB124*$BE124)+($J124*$BC124))</f>
        <v>#N/A</v>
      </c>
      <c r="BB124" s="5" t="e">
        <f aca="false">VLOOKUP($D124,Size!$A$2:$Z$13,19,0)</f>
        <v>#N/A</v>
      </c>
      <c r="BC124" s="5" t="e">
        <f aca="false">VLOOKUP($D124,Size!$A$2:$Z$13,20,0)</f>
        <v>#N/A</v>
      </c>
      <c r="BD124" s="5" t="e">
        <f aca="false">VLOOKUP($E124,Role!$A$2:$O$9,13,0)</f>
        <v>#N/A</v>
      </c>
      <c r="BE124" s="5" t="n">
        <f aca="false">VLOOKUP($C124,Type!$A$2:$B$4,2,0)</f>
        <v>1</v>
      </c>
    </row>
    <row r="125" customFormat="false" ht="12.8" hidden="false" customHeight="false" outlineLevel="0" collapsed="false">
      <c r="B125" s="2" t="n">
        <v>5</v>
      </c>
      <c r="C125" s="3" t="s">
        <v>51</v>
      </c>
      <c r="D125" s="1" t="s">
        <v>65</v>
      </c>
      <c r="E125" s="1" t="s">
        <v>66</v>
      </c>
      <c r="F125" s="1" t="s">
        <v>63</v>
      </c>
      <c r="G125" s="1" t="s">
        <v>79</v>
      </c>
      <c r="H125" s="4" t="n">
        <f aca="false">VLOOKUP($D125,Size!$A$2:$F$13,6,0)</f>
        <v>-3</v>
      </c>
      <c r="J125" s="12" t="n">
        <f aca="false">INT(($B125*$AY125*$AW125*$AZ125)+($B125*$AX125))</f>
        <v>2</v>
      </c>
      <c r="K125" s="4" t="n">
        <f aca="false">ROUND((($B125*$AT125)+($AV125*$AU125)),0)</f>
        <v>3</v>
      </c>
      <c r="L125" s="4" t="n">
        <f aca="false">ROUND((($B125*$AP125)+($B125*$AQ125))*$AR125,0)</f>
        <v>3</v>
      </c>
      <c r="M125" s="4" t="n">
        <f aca="false">ROUND((($B125*$AM125)+($B125*$AN125))*$AO125,0)</f>
        <v>2</v>
      </c>
      <c r="N125" s="4" t="n">
        <f aca="false">ROUND((($B125*$AG125)+($B125*$AH125))*$AI125,0)</f>
        <v>4</v>
      </c>
      <c r="O125" s="4" t="n">
        <f aca="false">ROUND((($B125*$AJ125)+($B125*$AK125))*$AL125,0)</f>
        <v>3</v>
      </c>
      <c r="Q125" s="4" t="n">
        <f aca="false">INT(VLOOKUP($E125,Role!$A$2:$O$9,8,0)*$B125)</f>
        <v>3</v>
      </c>
      <c r="R125" s="4" t="n">
        <f aca="false">INT(VLOOKUP($E125,Role!$A$2:$O$9,9,0)*$B125)</f>
        <v>3</v>
      </c>
      <c r="S125" s="4" t="n">
        <f aca="false">INT(VLOOKUP($E125,Role!$A$2:$P$9,16,0)*$B125*$AS125)</f>
        <v>1</v>
      </c>
      <c r="T125" s="4" t="n">
        <f aca="false">INT(VLOOKUP($D125,Size!$A$2:$Z$13,18,0)*VLOOKUP($E125,Role!$A$2:$O$9,13,0)*$B125/2)</f>
        <v>5</v>
      </c>
      <c r="U125" s="4" t="n">
        <f aca="false">INT(($BB125*$BE125)+($J125*$BC125))</f>
        <v>6</v>
      </c>
      <c r="V125" s="4" t="n">
        <f aca="false">INT((10+$N125)*VLOOKUP($E125,Role!$A$2:$O$9,14,0))</f>
        <v>14</v>
      </c>
      <c r="W125" s="4" t="n">
        <f aca="false">INT($J125*VLOOKUP($E125,Role!$A$2:$O$9,12,0))</f>
        <v>1</v>
      </c>
      <c r="Y125" s="2" t="n">
        <f aca="false">ROUND(MAX($K125,$M125)+(MIN($K125,$M125)*VLOOKUP($E125,Role!$A$2:$O$9,14,0)),0)</f>
        <v>5</v>
      </c>
      <c r="Z125" s="2" t="n">
        <f aca="false">MAX(1,INT(((MIN($J125:$K125)+(MAX($J125:$K125)*$H125*VLOOKUP($E125,Role!$A$2:$O$9,15,0))))*VLOOKUP($G125,Movement!$A$2:$C$7,3,0)))</f>
        <v>1</v>
      </c>
      <c r="AB125" s="5" t="n">
        <f aca="false">INT(5+(($H125-1)/3))</f>
        <v>3</v>
      </c>
      <c r="AC125" s="5" t="n">
        <f aca="false">IF($AB125&lt;$J125,$J125-MAX($AB125,$B125),0)</f>
        <v>0</v>
      </c>
      <c r="AD125" s="5" t="n">
        <f aca="false">(5-ROUND(($H125-1)/3,0))</f>
        <v>6</v>
      </c>
      <c r="AE125" s="5" t="n">
        <f aca="false">IF($AD125&lt;$K125,$K125-MAX($AD125,$B125),0)</f>
        <v>0</v>
      </c>
      <c r="AG125" s="6" t="n">
        <f aca="false">VLOOKUP($F125,Category!$A$2:$AZ$20,24,0)</f>
        <v>0</v>
      </c>
      <c r="AH125" s="6" t="n">
        <f aca="false">VLOOKUP($F125,Category!$A$2:$AZ$20,26,0)</f>
        <v>1.11111111111111</v>
      </c>
      <c r="AI125" s="6" t="n">
        <f aca="false">VLOOKUP($E125,Role!$A$2:$O$9,10,0)</f>
        <v>0.75</v>
      </c>
      <c r="AJ125" s="6" t="n">
        <f aca="false">VLOOKUP($F125,Category!$A$2:$AZ$20,19,0)</f>
        <v>0.181818181818182</v>
      </c>
      <c r="AK125" s="6" t="n">
        <f aca="false">VLOOKUP($F125,Category!$A$2:$AZ$20,21,0)</f>
        <v>0.454545454545455</v>
      </c>
      <c r="AL125" s="6" t="n">
        <f aca="false">1</f>
        <v>1</v>
      </c>
      <c r="AM125" s="6" t="n">
        <f aca="false">VLOOKUP($F125,Category!$A$2:$AZ$20,19,0)</f>
        <v>0.181818181818182</v>
      </c>
      <c r="AN125" s="6" t="n">
        <f aca="false">VLOOKUP($F125,Category!$A$2:$AZ$20,21,0)</f>
        <v>0.454545454545455</v>
      </c>
      <c r="AO125" s="6" t="n">
        <f aca="false">VLOOKUP($E125,Role!$A$2:$O$9,10,0)</f>
        <v>0.75</v>
      </c>
      <c r="AP125" s="6" t="n">
        <f aca="false">VLOOKUP($F125,Category!$A$2:$AZ$20,9,0)</f>
        <v>0.222222222222222</v>
      </c>
      <c r="AQ125" s="6" t="n">
        <f aca="false">VLOOKUP($F125,Category!$A$2:$AZ$20,11,0)</f>
        <v>0.444444444444444</v>
      </c>
      <c r="AR125" s="6" t="n">
        <f aca="false">VLOOKUP($E125,Role!$A$2:$O$9,10,0)</f>
        <v>0.75</v>
      </c>
      <c r="AS125" s="6" t="n">
        <f aca="false">VLOOKUP($F125,Category!$A$2:$AZ$20,10,0)</f>
        <v>0.666666666666667</v>
      </c>
      <c r="AT125" s="7" t="n">
        <f aca="false">VLOOKUP($F125,Category!$A$2:$AZ$20,14,0)</f>
        <v>0.333333333333333</v>
      </c>
      <c r="AU125" s="7" t="n">
        <f aca="false">VLOOKUP($F125,Category!$A$2:$AZ$20,16,0)</f>
        <v>0.416666666666667</v>
      </c>
      <c r="AV125" s="7" t="n">
        <f aca="false">VLOOKUP($D125,Size!$A$2:$Z$13,17,0)</f>
        <v>4</v>
      </c>
      <c r="AW125" s="7" t="n">
        <f aca="false">VLOOKUP($F125,Category!$A$2:$AZ$20,29,0)</f>
        <v>0.333333333333333</v>
      </c>
      <c r="AX125" s="7" t="n">
        <f aca="false">VLOOKUP($F125,Category!$A$2:$AZ$20,31,0)</f>
        <v>0.333333333333333</v>
      </c>
      <c r="AY125" s="7" t="n">
        <f aca="false">VLOOKUP($D125,Size!$A$2:$Z$13,16,0)</f>
        <v>1</v>
      </c>
      <c r="AZ125" s="7" t="n">
        <f aca="false">VLOOKUP($E125,Role!$A$2:$O$9,11,0)</f>
        <v>0.75</v>
      </c>
      <c r="BB125" s="5" t="n">
        <f aca="false">VLOOKUP($D125,Size!$A$2:$Z$13,19,0)</f>
        <v>6</v>
      </c>
      <c r="BC125" s="5" t="n">
        <f aca="false">VLOOKUP($D125,Size!$A$2:$Z$13,20,0)</f>
        <v>0.33</v>
      </c>
      <c r="BD125" s="5" t="n">
        <f aca="false">VLOOKUP($E125,Role!$A$2:$O$9,13,0)</f>
        <v>0.75</v>
      </c>
      <c r="BE125" s="5" t="n">
        <f aca="false">VLOOKUP($C125,Type!$A$2:$B$4,2,0)</f>
        <v>1</v>
      </c>
    </row>
    <row r="126" customFormat="false" ht="12.8" hidden="false" customHeight="false" outlineLevel="0" collapsed="false">
      <c r="B126" s="2" t="n">
        <v>5</v>
      </c>
      <c r="C126" s="3" t="s">
        <v>51</v>
      </c>
      <c r="D126" s="1" t="s">
        <v>68</v>
      </c>
      <c r="E126" s="1" t="s">
        <v>66</v>
      </c>
      <c r="F126" s="1" t="s">
        <v>63</v>
      </c>
      <c r="G126" s="1" t="s">
        <v>79</v>
      </c>
      <c r="H126" s="4" t="n">
        <f aca="false">VLOOKUP($D126,Size!$A$2:$F$13,6,0)</f>
        <v>-2</v>
      </c>
      <c r="J126" s="12" t="n">
        <f aca="false">INT(($B126*$AY126*$AW126*$AZ126)+($B126*$AX126))</f>
        <v>4</v>
      </c>
      <c r="K126" s="4" t="n">
        <f aca="false">ROUND((($B126*$AT126)+($AV126*$AU126)),0)</f>
        <v>3</v>
      </c>
      <c r="L126" s="4" t="n">
        <f aca="false">ROUND((($B126*$AP126)+($B126*$AQ126))*$AR126,0)</f>
        <v>3</v>
      </c>
      <c r="M126" s="4" t="n">
        <f aca="false">ROUND((($B126*$AM126)+($B126*$AN126))*$AO126,0)</f>
        <v>2</v>
      </c>
      <c r="N126" s="4" t="n">
        <f aca="false">ROUND((($B126*$AG126)+($B126*$AH126))*$AI126,0)</f>
        <v>4</v>
      </c>
      <c r="O126" s="4" t="n">
        <f aca="false">ROUND((($B126*$AJ126)+($B126*$AK126))*$AL126,0)</f>
        <v>3</v>
      </c>
      <c r="Q126" s="4" t="n">
        <f aca="false">INT(VLOOKUP($E126,Role!$A$2:$O$9,8,0)*$B126)</f>
        <v>3</v>
      </c>
      <c r="R126" s="4" t="n">
        <f aca="false">INT(VLOOKUP($E126,Role!$A$2:$O$9,9,0)*$B126)</f>
        <v>3</v>
      </c>
      <c r="S126" s="4" t="n">
        <f aca="false">INT(VLOOKUP($E126,Role!$A$2:$P$9,16,0)*$B126*$AS126)</f>
        <v>1</v>
      </c>
      <c r="T126" s="4" t="n">
        <f aca="false">INT(VLOOKUP($D126,Size!$A$2:$Z$13,18,0)*VLOOKUP($E126,Role!$A$2:$O$9,13,0)*$B126/2)</f>
        <v>12</v>
      </c>
      <c r="U126" s="4" t="n">
        <f aca="false">INT(($BB126*$BE126)+($J126*$BC126))</f>
        <v>9</v>
      </c>
      <c r="V126" s="4" t="n">
        <f aca="false">INT((10+$N126)*VLOOKUP($E126,Role!$A$2:$O$9,14,0))</f>
        <v>14</v>
      </c>
      <c r="W126" s="4" t="n">
        <f aca="false">INT($J126*VLOOKUP($E126,Role!$A$2:$O$9,12,0))</f>
        <v>2</v>
      </c>
      <c r="Y126" s="2" t="n">
        <f aca="false">ROUND(MAX($K126,$M126)+(MIN($K126,$M126)*VLOOKUP($E126,Role!$A$2:$O$9,14,0)),0)</f>
        <v>5</v>
      </c>
      <c r="Z126" s="2" t="n">
        <f aca="false">MAX(1,INT(((MIN($J126:$K126)+(MAX($J126:$K126)*$H126*VLOOKUP($E126,Role!$A$2:$O$9,15,0))))*VLOOKUP($G126,Movement!$A$2:$C$7,3,0)))</f>
        <v>1</v>
      </c>
      <c r="AB126" s="5" t="n">
        <f aca="false">INT(5+(($H126-1)/3))</f>
        <v>4</v>
      </c>
      <c r="AC126" s="5" t="n">
        <f aca="false">IF($AB126&lt;$J126,$J126-MAX($AB126,$B126),0)</f>
        <v>0</v>
      </c>
      <c r="AD126" s="5" t="n">
        <f aca="false">(5-ROUND(($H126-1)/3,0))</f>
        <v>6</v>
      </c>
      <c r="AE126" s="5" t="n">
        <f aca="false">IF($AD126&lt;$K126,$K126-MAX($AD126,$B126),0)</f>
        <v>0</v>
      </c>
      <c r="AG126" s="6" t="n">
        <f aca="false">VLOOKUP($F126,Category!$A$2:$AZ$20,24,0)</f>
        <v>0</v>
      </c>
      <c r="AH126" s="6" t="n">
        <f aca="false">VLOOKUP($F126,Category!$A$2:$AZ$20,26,0)</f>
        <v>1.11111111111111</v>
      </c>
      <c r="AI126" s="6" t="n">
        <f aca="false">VLOOKUP($E126,Role!$A$2:$O$9,10,0)</f>
        <v>0.75</v>
      </c>
      <c r="AJ126" s="6" t="n">
        <f aca="false">VLOOKUP($F126,Category!$A$2:$AZ$20,19,0)</f>
        <v>0.181818181818182</v>
      </c>
      <c r="AK126" s="6" t="n">
        <f aca="false">VLOOKUP($F126,Category!$A$2:$AZ$20,21,0)</f>
        <v>0.454545454545455</v>
      </c>
      <c r="AL126" s="6" t="n">
        <f aca="false">1</f>
        <v>1</v>
      </c>
      <c r="AM126" s="6" t="n">
        <f aca="false">VLOOKUP($F126,Category!$A$2:$AZ$20,19,0)</f>
        <v>0.181818181818182</v>
      </c>
      <c r="AN126" s="6" t="n">
        <f aca="false">VLOOKUP($F126,Category!$A$2:$AZ$20,21,0)</f>
        <v>0.454545454545455</v>
      </c>
      <c r="AO126" s="6" t="n">
        <f aca="false">VLOOKUP($E126,Role!$A$2:$O$9,10,0)</f>
        <v>0.75</v>
      </c>
      <c r="AP126" s="6" t="n">
        <f aca="false">VLOOKUP($F126,Category!$A$2:$AZ$20,9,0)</f>
        <v>0.222222222222222</v>
      </c>
      <c r="AQ126" s="6" t="n">
        <f aca="false">VLOOKUP($F126,Category!$A$2:$AZ$20,11,0)</f>
        <v>0.444444444444444</v>
      </c>
      <c r="AR126" s="6" t="n">
        <f aca="false">VLOOKUP($E126,Role!$A$2:$O$9,10,0)</f>
        <v>0.75</v>
      </c>
      <c r="AS126" s="6" t="n">
        <f aca="false">VLOOKUP($F126,Category!$A$2:$AZ$20,10,0)</f>
        <v>0.666666666666667</v>
      </c>
      <c r="AT126" s="7" t="n">
        <f aca="false">VLOOKUP($F126,Category!$A$2:$AZ$20,14,0)</f>
        <v>0.333333333333333</v>
      </c>
      <c r="AU126" s="7" t="n">
        <f aca="false">VLOOKUP($F126,Category!$A$2:$AZ$20,16,0)</f>
        <v>0.416666666666667</v>
      </c>
      <c r="AV126" s="7" t="n">
        <f aca="false">VLOOKUP($D126,Size!$A$2:$Z$13,17,0)</f>
        <v>3</v>
      </c>
      <c r="AW126" s="7" t="n">
        <f aca="false">VLOOKUP($F126,Category!$A$2:$AZ$20,29,0)</f>
        <v>0.333333333333333</v>
      </c>
      <c r="AX126" s="7" t="n">
        <f aca="false">VLOOKUP($F126,Category!$A$2:$AZ$20,31,0)</f>
        <v>0.333333333333333</v>
      </c>
      <c r="AY126" s="7" t="n">
        <f aca="false">VLOOKUP($D126,Size!$A$2:$Z$13,16,0)</f>
        <v>2</v>
      </c>
      <c r="AZ126" s="7" t="n">
        <f aca="false">VLOOKUP($E126,Role!$A$2:$O$9,11,0)</f>
        <v>0.75</v>
      </c>
      <c r="BB126" s="5" t="n">
        <f aca="false">VLOOKUP($D126,Size!$A$2:$Z$13,19,0)</f>
        <v>7</v>
      </c>
      <c r="BC126" s="5" t="n">
        <f aca="false">VLOOKUP($D126,Size!$A$2:$Z$13,20,0)</f>
        <v>0.5</v>
      </c>
      <c r="BD126" s="5" t="n">
        <f aca="false">VLOOKUP($E126,Role!$A$2:$O$9,13,0)</f>
        <v>0.75</v>
      </c>
      <c r="BE126" s="5" t="n">
        <f aca="false">VLOOKUP($C126,Type!$A$2:$B$4,2,0)</f>
        <v>1</v>
      </c>
    </row>
    <row r="127" customFormat="false" ht="12.8" hidden="false" customHeight="false" outlineLevel="0" collapsed="false">
      <c r="B127" s="2" t="n">
        <v>5</v>
      </c>
      <c r="C127" s="3" t="s">
        <v>51</v>
      </c>
      <c r="D127" s="1" t="s">
        <v>69</v>
      </c>
      <c r="E127" s="1" t="s">
        <v>66</v>
      </c>
      <c r="F127" s="1" t="s">
        <v>63</v>
      </c>
      <c r="G127" s="1" t="s">
        <v>79</v>
      </c>
      <c r="H127" s="4" t="n">
        <f aca="false">VLOOKUP($D127,Size!$A$2:$F$13,6,0)</f>
        <v>-1</v>
      </c>
      <c r="J127" s="12" t="n">
        <f aca="false">INT(($B127*$AY127*$AW127*$AZ127)+($B127*$AX127))</f>
        <v>4</v>
      </c>
      <c r="K127" s="4" t="n">
        <f aca="false">ROUND((($B127*$AT127)+($AV127*$AU127)),0)</f>
        <v>3</v>
      </c>
      <c r="L127" s="4" t="n">
        <f aca="false">ROUND((($B127*$AP127)+($B127*$AQ127))*$AR127,0)</f>
        <v>3</v>
      </c>
      <c r="M127" s="4" t="n">
        <f aca="false">ROUND((($B127*$AM127)+($B127*$AN127))*$AO127,0)</f>
        <v>2</v>
      </c>
      <c r="N127" s="4" t="n">
        <f aca="false">ROUND((($B127*$AG127)+($B127*$AH127))*$AI127,0)</f>
        <v>4</v>
      </c>
      <c r="O127" s="4" t="n">
        <f aca="false">ROUND((($B127*$AJ127)+($B127*$AK127))*$AL127,0)</f>
        <v>3</v>
      </c>
      <c r="Q127" s="4" t="n">
        <f aca="false">INT(VLOOKUP($E127,Role!$A$2:$O$9,8,0)*$B127)</f>
        <v>3</v>
      </c>
      <c r="R127" s="4" t="n">
        <f aca="false">INT(VLOOKUP($E127,Role!$A$2:$O$9,9,0)*$B127)</f>
        <v>3</v>
      </c>
      <c r="S127" s="4" t="n">
        <f aca="false">INT(VLOOKUP($E127,Role!$A$2:$P$9,16,0)*$B127*$AS127)</f>
        <v>1</v>
      </c>
      <c r="T127" s="4" t="n">
        <f aca="false">INT(VLOOKUP($D127,Size!$A$2:$Z$13,18,0)*VLOOKUP($E127,Role!$A$2:$O$9,13,0)*$B127/2)</f>
        <v>15</v>
      </c>
      <c r="U127" s="4" t="n">
        <f aca="false">INT(($BB127*$BE127)+($J127*$BC127))</f>
        <v>10</v>
      </c>
      <c r="V127" s="4" t="n">
        <f aca="false">INT((10+$N127)*VLOOKUP($E127,Role!$A$2:$O$9,14,0))</f>
        <v>14</v>
      </c>
      <c r="W127" s="4" t="n">
        <f aca="false">INT($J127*VLOOKUP($E127,Role!$A$2:$O$9,12,0))</f>
        <v>2</v>
      </c>
      <c r="Y127" s="2" t="n">
        <f aca="false">ROUND(MAX($K127,$M127)+(MIN($K127,$M127)*VLOOKUP($E127,Role!$A$2:$O$9,14,0)),0)</f>
        <v>5</v>
      </c>
      <c r="Z127" s="2" t="n">
        <f aca="false">MAX(1,INT(((MIN($J127:$K127)+(MAX($J127:$K127)*$H127*VLOOKUP($E127,Role!$A$2:$O$9,15,0))))*VLOOKUP($G127,Movement!$A$2:$C$7,3,0)))</f>
        <v>1</v>
      </c>
      <c r="AB127" s="5" t="n">
        <f aca="false">INT(5+(($H127-1)/3))</f>
        <v>4</v>
      </c>
      <c r="AC127" s="5" t="n">
        <f aca="false">IF($AB127&lt;$J127,$J127-MAX($AB127,$B127),0)</f>
        <v>0</v>
      </c>
      <c r="AD127" s="5" t="n">
        <f aca="false">(5-ROUND(($H127-1)/3,0))</f>
        <v>6</v>
      </c>
      <c r="AE127" s="5" t="n">
        <f aca="false">IF($AD127&lt;$K127,$K127-MAX($AD127,$B127),0)</f>
        <v>0</v>
      </c>
      <c r="AG127" s="6" t="n">
        <f aca="false">VLOOKUP($F127,Category!$A$2:$AZ$20,24,0)</f>
        <v>0</v>
      </c>
      <c r="AH127" s="6" t="n">
        <f aca="false">VLOOKUP($F127,Category!$A$2:$AZ$20,26,0)</f>
        <v>1.11111111111111</v>
      </c>
      <c r="AI127" s="6" t="n">
        <f aca="false">VLOOKUP($E127,Role!$A$2:$O$9,10,0)</f>
        <v>0.75</v>
      </c>
      <c r="AJ127" s="6" t="n">
        <f aca="false">VLOOKUP($F127,Category!$A$2:$AZ$20,19,0)</f>
        <v>0.181818181818182</v>
      </c>
      <c r="AK127" s="6" t="n">
        <f aca="false">VLOOKUP($F127,Category!$A$2:$AZ$20,21,0)</f>
        <v>0.454545454545455</v>
      </c>
      <c r="AL127" s="6" t="n">
        <f aca="false">1</f>
        <v>1</v>
      </c>
      <c r="AM127" s="6" t="n">
        <f aca="false">VLOOKUP($F127,Category!$A$2:$AZ$20,19,0)</f>
        <v>0.181818181818182</v>
      </c>
      <c r="AN127" s="6" t="n">
        <f aca="false">VLOOKUP($F127,Category!$A$2:$AZ$20,21,0)</f>
        <v>0.454545454545455</v>
      </c>
      <c r="AO127" s="6" t="n">
        <f aca="false">VLOOKUP($E127,Role!$A$2:$O$9,10,0)</f>
        <v>0.75</v>
      </c>
      <c r="AP127" s="6" t="n">
        <f aca="false">VLOOKUP($F127,Category!$A$2:$AZ$20,9,0)</f>
        <v>0.222222222222222</v>
      </c>
      <c r="AQ127" s="6" t="n">
        <f aca="false">VLOOKUP($F127,Category!$A$2:$AZ$20,11,0)</f>
        <v>0.444444444444444</v>
      </c>
      <c r="AR127" s="6" t="n">
        <f aca="false">VLOOKUP($E127,Role!$A$2:$O$9,10,0)</f>
        <v>0.75</v>
      </c>
      <c r="AS127" s="6" t="n">
        <f aca="false">VLOOKUP($F127,Category!$A$2:$AZ$20,10,0)</f>
        <v>0.666666666666667</v>
      </c>
      <c r="AT127" s="7" t="n">
        <f aca="false">VLOOKUP($F127,Category!$A$2:$AZ$20,14,0)</f>
        <v>0.333333333333333</v>
      </c>
      <c r="AU127" s="7" t="n">
        <f aca="false">VLOOKUP($F127,Category!$A$2:$AZ$20,16,0)</f>
        <v>0.416666666666667</v>
      </c>
      <c r="AV127" s="7" t="n">
        <f aca="false">VLOOKUP($D127,Size!$A$2:$Z$13,17,0)</f>
        <v>3</v>
      </c>
      <c r="AW127" s="7" t="n">
        <f aca="false">VLOOKUP($F127,Category!$A$2:$AZ$20,29,0)</f>
        <v>0.333333333333333</v>
      </c>
      <c r="AX127" s="7" t="n">
        <f aca="false">VLOOKUP($F127,Category!$A$2:$AZ$20,31,0)</f>
        <v>0.333333333333333</v>
      </c>
      <c r="AY127" s="7" t="n">
        <f aca="false">VLOOKUP($D127,Size!$A$2:$Z$13,16,0)</f>
        <v>2</v>
      </c>
      <c r="AZ127" s="7" t="n">
        <f aca="false">VLOOKUP($E127,Role!$A$2:$O$9,11,0)</f>
        <v>0.75</v>
      </c>
      <c r="BB127" s="5" t="n">
        <f aca="false">VLOOKUP($D127,Size!$A$2:$Z$13,19,0)</f>
        <v>8</v>
      </c>
      <c r="BC127" s="5" t="n">
        <f aca="false">VLOOKUP($D127,Size!$A$2:$Z$13,20,0)</f>
        <v>0.66</v>
      </c>
      <c r="BD127" s="5" t="n">
        <f aca="false">VLOOKUP($E127,Role!$A$2:$O$9,13,0)</f>
        <v>0.75</v>
      </c>
      <c r="BE127" s="5" t="n">
        <f aca="false">VLOOKUP($C127,Type!$A$2:$B$4,2,0)</f>
        <v>1</v>
      </c>
    </row>
    <row r="128" customFormat="false" ht="12.8" hidden="false" customHeight="false" outlineLevel="0" collapsed="false">
      <c r="B128" s="2" t="n">
        <v>5</v>
      </c>
      <c r="C128" s="3" t="s">
        <v>51</v>
      </c>
      <c r="D128" s="1" t="s">
        <v>70</v>
      </c>
      <c r="E128" s="1" t="s">
        <v>66</v>
      </c>
      <c r="F128" s="1" t="s">
        <v>63</v>
      </c>
      <c r="G128" s="1" t="s">
        <v>79</v>
      </c>
      <c r="H128" s="4" t="n">
        <f aca="false">VLOOKUP($D128,Size!$A$2:$F$13,6,0)</f>
        <v>0</v>
      </c>
      <c r="J128" s="12" t="n">
        <f aca="false">INT(($B128*$AY128*$AW128*$AZ128)+($B128*$AX128))</f>
        <v>4</v>
      </c>
      <c r="K128" s="4" t="n">
        <f aca="false">ROUND((($B128*$AT128)+($AV128*$AU128)),0)</f>
        <v>3</v>
      </c>
      <c r="L128" s="4" t="n">
        <f aca="false">ROUND((($B128*$AP128)+($B128*$AQ128))*$AR128,0)</f>
        <v>3</v>
      </c>
      <c r="M128" s="4" t="n">
        <f aca="false">ROUND((($B128*$AM128)+($B128*$AN128))*$AO128,0)</f>
        <v>2</v>
      </c>
      <c r="N128" s="4" t="n">
        <f aca="false">ROUND((($B128*$AG128)+($B128*$AH128))*$AI128,0)</f>
        <v>4</v>
      </c>
      <c r="O128" s="4" t="n">
        <f aca="false">ROUND((($B128*$AJ128)+($B128*$AK128))*$AL128,0)</f>
        <v>3</v>
      </c>
      <c r="Q128" s="4" t="n">
        <f aca="false">INT(VLOOKUP($E128,Role!$A$2:$O$9,8,0)*$B128)</f>
        <v>3</v>
      </c>
      <c r="R128" s="4" t="n">
        <f aca="false">INT(VLOOKUP($E128,Role!$A$2:$O$9,9,0)*$B128)</f>
        <v>3</v>
      </c>
      <c r="S128" s="4" t="n">
        <f aca="false">INT(VLOOKUP($E128,Role!$A$2:$P$9,16,0)*$B128*$AS128)</f>
        <v>1</v>
      </c>
      <c r="T128" s="4" t="n">
        <f aca="false">INT(VLOOKUP($D128,Size!$A$2:$Z$13,18,0)*VLOOKUP($E128,Role!$A$2:$O$9,13,0)*$B128/2)</f>
        <v>18</v>
      </c>
      <c r="U128" s="4" t="n">
        <f aca="false">INT(($BB128*$BE128)+($J128*$BC128))</f>
        <v>12</v>
      </c>
      <c r="V128" s="4" t="n">
        <f aca="false">INT((10+$N128)*VLOOKUP($E128,Role!$A$2:$O$9,14,0))</f>
        <v>14</v>
      </c>
      <c r="W128" s="4" t="n">
        <f aca="false">INT($J128*VLOOKUP($E128,Role!$A$2:$O$9,12,0))</f>
        <v>2</v>
      </c>
      <c r="Y128" s="2" t="n">
        <f aca="false">ROUND(MAX($K128,$M128)+(MIN($K128,$M128)*VLOOKUP($E128,Role!$A$2:$O$9,14,0)),0)</f>
        <v>5</v>
      </c>
      <c r="Z128" s="2" t="n">
        <f aca="false">MAX(1,INT(((MIN($J128:$K128)+(MAX($J128:$K128)*$H128*VLOOKUP($E128,Role!$A$2:$O$9,15,0))))*VLOOKUP($G128,Movement!$A$2:$C$7,3,0)))</f>
        <v>4</v>
      </c>
      <c r="AB128" s="5" t="n">
        <f aca="false">INT(5+(($H128-1)/3))</f>
        <v>4</v>
      </c>
      <c r="AC128" s="5" t="n">
        <f aca="false">IF($AB128&lt;$J128,$J128-MAX($AB128,$B128),0)</f>
        <v>0</v>
      </c>
      <c r="AD128" s="5" t="n">
        <f aca="false">(5-ROUND(($H128-1)/3,0))</f>
        <v>5</v>
      </c>
      <c r="AE128" s="5" t="n">
        <f aca="false">IF($AD128&lt;$K128,$K128-MAX($AD128,$B128),0)</f>
        <v>0</v>
      </c>
      <c r="AG128" s="6" t="n">
        <f aca="false">VLOOKUP($F128,Category!$A$2:$AZ$20,24,0)</f>
        <v>0</v>
      </c>
      <c r="AH128" s="6" t="n">
        <f aca="false">VLOOKUP($F128,Category!$A$2:$AZ$20,26,0)</f>
        <v>1.11111111111111</v>
      </c>
      <c r="AI128" s="6" t="n">
        <f aca="false">VLOOKUP($E128,Role!$A$2:$O$9,10,0)</f>
        <v>0.75</v>
      </c>
      <c r="AJ128" s="6" t="n">
        <f aca="false">VLOOKUP($F128,Category!$A$2:$AZ$20,19,0)</f>
        <v>0.181818181818182</v>
      </c>
      <c r="AK128" s="6" t="n">
        <f aca="false">VLOOKUP($F128,Category!$A$2:$AZ$20,21,0)</f>
        <v>0.454545454545455</v>
      </c>
      <c r="AL128" s="6" t="n">
        <f aca="false">1</f>
        <v>1</v>
      </c>
      <c r="AM128" s="6" t="n">
        <f aca="false">VLOOKUP($F128,Category!$A$2:$AZ$20,19,0)</f>
        <v>0.181818181818182</v>
      </c>
      <c r="AN128" s="6" t="n">
        <f aca="false">VLOOKUP($F128,Category!$A$2:$AZ$20,21,0)</f>
        <v>0.454545454545455</v>
      </c>
      <c r="AO128" s="6" t="n">
        <f aca="false">VLOOKUP($E128,Role!$A$2:$O$9,10,0)</f>
        <v>0.75</v>
      </c>
      <c r="AP128" s="6" t="n">
        <f aca="false">VLOOKUP($F128,Category!$A$2:$AZ$20,9,0)</f>
        <v>0.222222222222222</v>
      </c>
      <c r="AQ128" s="6" t="n">
        <f aca="false">VLOOKUP($F128,Category!$A$2:$AZ$20,11,0)</f>
        <v>0.444444444444444</v>
      </c>
      <c r="AR128" s="6" t="n">
        <f aca="false">VLOOKUP($E128,Role!$A$2:$O$9,10,0)</f>
        <v>0.75</v>
      </c>
      <c r="AS128" s="6" t="n">
        <f aca="false">VLOOKUP($F128,Category!$A$2:$AZ$20,10,0)</f>
        <v>0.666666666666667</v>
      </c>
      <c r="AT128" s="7" t="n">
        <f aca="false">VLOOKUP($F128,Category!$A$2:$AZ$20,14,0)</f>
        <v>0.333333333333333</v>
      </c>
      <c r="AU128" s="7" t="n">
        <f aca="false">VLOOKUP($F128,Category!$A$2:$AZ$20,16,0)</f>
        <v>0.416666666666667</v>
      </c>
      <c r="AV128" s="7" t="n">
        <f aca="false">VLOOKUP($D128,Size!$A$2:$Z$13,17,0)</f>
        <v>3</v>
      </c>
      <c r="AW128" s="7" t="n">
        <f aca="false">VLOOKUP($F128,Category!$A$2:$AZ$20,29,0)</f>
        <v>0.333333333333333</v>
      </c>
      <c r="AX128" s="7" t="n">
        <f aca="false">VLOOKUP($F128,Category!$A$2:$AZ$20,31,0)</f>
        <v>0.333333333333333</v>
      </c>
      <c r="AY128" s="7" t="n">
        <f aca="false">VLOOKUP($D128,Size!$A$2:$Z$13,16,0)</f>
        <v>2</v>
      </c>
      <c r="AZ128" s="7" t="n">
        <f aca="false">VLOOKUP($E128,Role!$A$2:$O$9,11,0)</f>
        <v>0.75</v>
      </c>
      <c r="BB128" s="5" t="n">
        <f aca="false">VLOOKUP($D128,Size!$A$2:$Z$13,19,0)</f>
        <v>9</v>
      </c>
      <c r="BC128" s="5" t="n">
        <f aca="false">VLOOKUP($D128,Size!$A$2:$Z$13,20,0)</f>
        <v>0.75</v>
      </c>
      <c r="BD128" s="5" t="n">
        <f aca="false">VLOOKUP($E128,Role!$A$2:$O$9,13,0)</f>
        <v>0.75</v>
      </c>
      <c r="BE128" s="5" t="n">
        <f aca="false">VLOOKUP($C128,Type!$A$2:$B$4,2,0)</f>
        <v>1</v>
      </c>
    </row>
    <row r="129" customFormat="false" ht="12.8" hidden="false" customHeight="false" outlineLevel="0" collapsed="false">
      <c r="B129" s="2" t="n">
        <v>5</v>
      </c>
      <c r="C129" s="3" t="s">
        <v>51</v>
      </c>
      <c r="D129" s="1" t="s">
        <v>52</v>
      </c>
      <c r="E129" s="1" t="s">
        <v>66</v>
      </c>
      <c r="F129" s="1" t="s">
        <v>63</v>
      </c>
      <c r="G129" s="1" t="s">
        <v>79</v>
      </c>
      <c r="H129" s="4" t="n">
        <f aca="false">VLOOKUP($D129,Size!$A$2:$F$13,6,0)</f>
        <v>1</v>
      </c>
      <c r="J129" s="12" t="n">
        <f aca="false">INT(($B129*$AY129*$AW129*$AZ129)+($B129*$AX129))</f>
        <v>5</v>
      </c>
      <c r="K129" s="4" t="n">
        <f aca="false">ROUND((($B129*$AT129)+($AV129*$AU129)),0)</f>
        <v>3</v>
      </c>
      <c r="L129" s="4" t="n">
        <f aca="false">ROUND((($B129*$AP129)+($B129*$AQ129))*$AR129,0)</f>
        <v>3</v>
      </c>
      <c r="M129" s="4" t="n">
        <f aca="false">ROUND((($B129*$AM129)+($B129*$AN129))*$AO129,0)</f>
        <v>2</v>
      </c>
      <c r="N129" s="4" t="n">
        <f aca="false">ROUND((($B129*$AG129)+($B129*$AH129))*$AI129,0)</f>
        <v>4</v>
      </c>
      <c r="O129" s="4" t="n">
        <f aca="false">ROUND((($B129*$AJ129)+($B129*$AK129))*$AL129,0)</f>
        <v>3</v>
      </c>
      <c r="Q129" s="4" t="n">
        <f aca="false">INT(VLOOKUP($E129,Role!$A$2:$O$9,8,0)*$B129)</f>
        <v>3</v>
      </c>
      <c r="R129" s="4" t="n">
        <f aca="false">INT(VLOOKUP($E129,Role!$A$2:$O$9,9,0)*$B129)</f>
        <v>3</v>
      </c>
      <c r="S129" s="4" t="n">
        <f aca="false">INT(VLOOKUP($E129,Role!$A$2:$P$9,16,0)*$B129*$AS129)</f>
        <v>1</v>
      </c>
      <c r="T129" s="4" t="n">
        <f aca="false">INT(VLOOKUP($D129,Size!$A$2:$Z$13,18,0)*VLOOKUP($E129,Role!$A$2:$O$9,13,0)*$B129/2)</f>
        <v>24</v>
      </c>
      <c r="U129" s="4" t="n">
        <f aca="false">INT(($BB129*$BE129)+($J129*$BC129))</f>
        <v>15</v>
      </c>
      <c r="V129" s="4" t="n">
        <f aca="false">INT((10+$N129)*VLOOKUP($E129,Role!$A$2:$O$9,14,0))</f>
        <v>14</v>
      </c>
      <c r="W129" s="4" t="n">
        <f aca="false">INT($J129*VLOOKUP($E129,Role!$A$2:$O$9,12,0))</f>
        <v>3</v>
      </c>
      <c r="Y129" s="2" t="n">
        <f aca="false">ROUND(MAX($K129,$M129)+(MIN($K129,$M129)*VLOOKUP($E129,Role!$A$2:$O$9,14,0)),0)</f>
        <v>5</v>
      </c>
      <c r="Z129" s="2" t="n">
        <f aca="false">MAX(1,INT(((MIN($J129:$K129)+(MAX($J129:$K129)*$H129*VLOOKUP($E129,Role!$A$2:$O$9,15,0))))*VLOOKUP($G129,Movement!$A$2:$C$7,3,0)))</f>
        <v>12</v>
      </c>
      <c r="AB129" s="5" t="n">
        <f aca="false">INT(5+(($H129-1)/3))</f>
        <v>5</v>
      </c>
      <c r="AC129" s="5" t="n">
        <f aca="false">IF($AB129&lt;$J129,$J129-MAX($AB129,$B129),0)</f>
        <v>0</v>
      </c>
      <c r="AD129" s="5" t="n">
        <f aca="false">(5-ROUND(($H129-1)/3,0))</f>
        <v>5</v>
      </c>
      <c r="AE129" s="5" t="n">
        <f aca="false">IF($AD129&lt;$K129,$K129-MAX($AD129,$B129),0)</f>
        <v>0</v>
      </c>
      <c r="AG129" s="6" t="n">
        <f aca="false">VLOOKUP($F129,Category!$A$2:$AZ$20,24,0)</f>
        <v>0</v>
      </c>
      <c r="AH129" s="6" t="n">
        <f aca="false">VLOOKUP($F129,Category!$A$2:$AZ$20,26,0)</f>
        <v>1.11111111111111</v>
      </c>
      <c r="AI129" s="6" t="n">
        <f aca="false">VLOOKUP($E129,Role!$A$2:$O$9,10,0)</f>
        <v>0.75</v>
      </c>
      <c r="AJ129" s="6" t="n">
        <f aca="false">VLOOKUP($F129,Category!$A$2:$AZ$20,19,0)</f>
        <v>0.181818181818182</v>
      </c>
      <c r="AK129" s="6" t="n">
        <f aca="false">VLOOKUP($F129,Category!$A$2:$AZ$20,21,0)</f>
        <v>0.454545454545455</v>
      </c>
      <c r="AL129" s="6" t="n">
        <f aca="false">1</f>
        <v>1</v>
      </c>
      <c r="AM129" s="6" t="n">
        <f aca="false">VLOOKUP($F129,Category!$A$2:$AZ$20,19,0)</f>
        <v>0.181818181818182</v>
      </c>
      <c r="AN129" s="6" t="n">
        <f aca="false">VLOOKUP($F129,Category!$A$2:$AZ$20,21,0)</f>
        <v>0.454545454545455</v>
      </c>
      <c r="AO129" s="6" t="n">
        <f aca="false">VLOOKUP($E129,Role!$A$2:$O$9,10,0)</f>
        <v>0.75</v>
      </c>
      <c r="AP129" s="6" t="n">
        <f aca="false">VLOOKUP($F129,Category!$A$2:$AZ$20,9,0)</f>
        <v>0.222222222222222</v>
      </c>
      <c r="AQ129" s="6" t="n">
        <f aca="false">VLOOKUP($F129,Category!$A$2:$AZ$20,11,0)</f>
        <v>0.444444444444444</v>
      </c>
      <c r="AR129" s="6" t="n">
        <f aca="false">VLOOKUP($E129,Role!$A$2:$O$9,10,0)</f>
        <v>0.75</v>
      </c>
      <c r="AS129" s="6" t="n">
        <f aca="false">VLOOKUP($F129,Category!$A$2:$AZ$20,10,0)</f>
        <v>0.666666666666667</v>
      </c>
      <c r="AT129" s="7" t="n">
        <f aca="false">VLOOKUP($F129,Category!$A$2:$AZ$20,14,0)</f>
        <v>0.333333333333333</v>
      </c>
      <c r="AU129" s="7" t="n">
        <f aca="false">VLOOKUP($F129,Category!$A$2:$AZ$20,16,0)</f>
        <v>0.416666666666667</v>
      </c>
      <c r="AV129" s="7" t="n">
        <f aca="false">VLOOKUP($D129,Size!$A$2:$Z$13,17,0)</f>
        <v>3</v>
      </c>
      <c r="AW129" s="7" t="n">
        <f aca="false">VLOOKUP($F129,Category!$A$2:$AZ$20,29,0)</f>
        <v>0.333333333333333</v>
      </c>
      <c r="AX129" s="7" t="n">
        <f aca="false">VLOOKUP($F129,Category!$A$2:$AZ$20,31,0)</f>
        <v>0.333333333333333</v>
      </c>
      <c r="AY129" s="7" t="n">
        <f aca="false">VLOOKUP($D129,Size!$A$2:$Z$13,16,0)</f>
        <v>3</v>
      </c>
      <c r="AZ129" s="7" t="n">
        <f aca="false">VLOOKUP($E129,Role!$A$2:$O$9,11,0)</f>
        <v>0.75</v>
      </c>
      <c r="BB129" s="5" t="n">
        <f aca="false">VLOOKUP($D129,Size!$A$2:$Z$13,19,0)</f>
        <v>10</v>
      </c>
      <c r="BC129" s="5" t="n">
        <f aca="false">VLOOKUP($D129,Size!$A$2:$Z$13,20,0)</f>
        <v>1</v>
      </c>
      <c r="BD129" s="5" t="n">
        <f aca="false">VLOOKUP($E129,Role!$A$2:$O$9,13,0)</f>
        <v>0.75</v>
      </c>
      <c r="BE129" s="5" t="n">
        <f aca="false">VLOOKUP($C129,Type!$A$2:$B$4,2,0)</f>
        <v>1</v>
      </c>
    </row>
    <row r="130" customFormat="false" ht="12.8" hidden="false" customHeight="false" outlineLevel="0" collapsed="false">
      <c r="B130" s="2" t="n">
        <v>5</v>
      </c>
      <c r="C130" s="3" t="s">
        <v>51</v>
      </c>
      <c r="D130" s="1" t="s">
        <v>71</v>
      </c>
      <c r="E130" s="1" t="s">
        <v>66</v>
      </c>
      <c r="F130" s="1" t="s">
        <v>63</v>
      </c>
      <c r="G130" s="1" t="s">
        <v>79</v>
      </c>
      <c r="H130" s="4" t="n">
        <f aca="false">VLOOKUP($D130,Size!$A$2:$F$13,6,0)</f>
        <v>2</v>
      </c>
      <c r="J130" s="12" t="n">
        <f aca="false">INT(($B130*$AY130*$AW130*$AZ130)+($B130*$AX130))</f>
        <v>5</v>
      </c>
      <c r="K130" s="4" t="n">
        <f aca="false">ROUND((($B130*$AT130)+($AV130*$AU130)),0)</f>
        <v>3</v>
      </c>
      <c r="L130" s="4" t="n">
        <f aca="false">ROUND((($B130*$AP130)+($B130*$AQ130))*$AR130,0)</f>
        <v>3</v>
      </c>
      <c r="M130" s="4" t="n">
        <f aca="false">ROUND((($B130*$AM130)+($B130*$AN130))*$AO130,0)</f>
        <v>2</v>
      </c>
      <c r="N130" s="4" t="n">
        <f aca="false">ROUND((($B130*$AG130)+($B130*$AH130))*$AI130,0)</f>
        <v>4</v>
      </c>
      <c r="O130" s="4" t="n">
        <f aca="false">ROUND((($B130*$AJ130)+($B130*$AK130))*$AL130,0)</f>
        <v>3</v>
      </c>
      <c r="Q130" s="4" t="n">
        <f aca="false">INT(VLOOKUP($E130,Role!$A$2:$O$9,8,0)*$B130)</f>
        <v>3</v>
      </c>
      <c r="R130" s="4" t="n">
        <f aca="false">INT(VLOOKUP($E130,Role!$A$2:$O$9,9,0)*$B130)</f>
        <v>3</v>
      </c>
      <c r="S130" s="4" t="n">
        <f aca="false">INT(VLOOKUP($E130,Role!$A$2:$P$9,16,0)*$B130*$AS130)</f>
        <v>1</v>
      </c>
      <c r="T130" s="4" t="n">
        <f aca="false">INT(VLOOKUP($D130,Size!$A$2:$Z$13,18,0)*VLOOKUP($E130,Role!$A$2:$O$9,13,0)*$B130/2)</f>
        <v>30</v>
      </c>
      <c r="U130" s="4" t="n">
        <f aca="false">INT(($BB130*$BE130)+($J130*$BC130))</f>
        <v>22</v>
      </c>
      <c r="V130" s="4" t="n">
        <f aca="false">INT((10+$N130)*VLOOKUP($E130,Role!$A$2:$O$9,14,0))</f>
        <v>14</v>
      </c>
      <c r="W130" s="4" t="n">
        <f aca="false">INT($J130*VLOOKUP($E130,Role!$A$2:$O$9,12,0))</f>
        <v>3</v>
      </c>
      <c r="Y130" s="2" t="n">
        <f aca="false">ROUND(MAX($K130,$M130)+(MIN($K130,$M130)*VLOOKUP($E130,Role!$A$2:$O$9,14,0)),0)</f>
        <v>5</v>
      </c>
      <c r="Z130" s="2" t="n">
        <f aca="false">MAX(1,INT(((MIN($J130:$K130)+(MAX($J130:$K130)*$H130*VLOOKUP($E130,Role!$A$2:$O$9,15,0))))*VLOOKUP($G130,Movement!$A$2:$C$7,3,0)))</f>
        <v>19</v>
      </c>
      <c r="AB130" s="5" t="n">
        <f aca="false">INT(5+(($H130-1)/3))</f>
        <v>5</v>
      </c>
      <c r="AC130" s="5" t="n">
        <f aca="false">IF($AB130&lt;$J130,$J130-MAX($AB130,$B130),0)</f>
        <v>0</v>
      </c>
      <c r="AD130" s="5" t="n">
        <f aca="false">(5-ROUND(($H130-1)/3,0))</f>
        <v>5</v>
      </c>
      <c r="AE130" s="5" t="n">
        <f aca="false">IF($AD130&lt;$K130,$K130-MAX($AD130,$B130),0)</f>
        <v>0</v>
      </c>
      <c r="AG130" s="6" t="n">
        <f aca="false">VLOOKUP($F130,Category!$A$2:$AZ$20,24,0)</f>
        <v>0</v>
      </c>
      <c r="AH130" s="6" t="n">
        <f aca="false">VLOOKUP($F130,Category!$A$2:$AZ$20,26,0)</f>
        <v>1.11111111111111</v>
      </c>
      <c r="AI130" s="6" t="n">
        <f aca="false">VLOOKUP($E130,Role!$A$2:$O$9,10,0)</f>
        <v>0.75</v>
      </c>
      <c r="AJ130" s="6" t="n">
        <f aca="false">VLOOKUP($F130,Category!$A$2:$AZ$20,19,0)</f>
        <v>0.181818181818182</v>
      </c>
      <c r="AK130" s="6" t="n">
        <f aca="false">VLOOKUP($F130,Category!$A$2:$AZ$20,21,0)</f>
        <v>0.454545454545455</v>
      </c>
      <c r="AL130" s="6" t="n">
        <f aca="false">1</f>
        <v>1</v>
      </c>
      <c r="AM130" s="6" t="n">
        <f aca="false">VLOOKUP($F130,Category!$A$2:$AZ$20,19,0)</f>
        <v>0.181818181818182</v>
      </c>
      <c r="AN130" s="6" t="n">
        <f aca="false">VLOOKUP($F130,Category!$A$2:$AZ$20,21,0)</f>
        <v>0.454545454545455</v>
      </c>
      <c r="AO130" s="6" t="n">
        <f aca="false">VLOOKUP($E130,Role!$A$2:$O$9,10,0)</f>
        <v>0.75</v>
      </c>
      <c r="AP130" s="6" t="n">
        <f aca="false">VLOOKUP($F130,Category!$A$2:$AZ$20,9,0)</f>
        <v>0.222222222222222</v>
      </c>
      <c r="AQ130" s="6" t="n">
        <f aca="false">VLOOKUP($F130,Category!$A$2:$AZ$20,11,0)</f>
        <v>0.444444444444444</v>
      </c>
      <c r="AR130" s="6" t="n">
        <f aca="false">VLOOKUP($E130,Role!$A$2:$O$9,10,0)</f>
        <v>0.75</v>
      </c>
      <c r="AS130" s="6" t="n">
        <f aca="false">VLOOKUP($F130,Category!$A$2:$AZ$20,10,0)</f>
        <v>0.666666666666667</v>
      </c>
      <c r="AT130" s="7" t="n">
        <f aca="false">VLOOKUP($F130,Category!$A$2:$AZ$20,14,0)</f>
        <v>0.333333333333333</v>
      </c>
      <c r="AU130" s="7" t="n">
        <f aca="false">VLOOKUP($F130,Category!$A$2:$AZ$20,16,0)</f>
        <v>0.416666666666667</v>
      </c>
      <c r="AV130" s="7" t="n">
        <f aca="false">VLOOKUP($D130,Size!$A$2:$Z$13,17,0)</f>
        <v>3</v>
      </c>
      <c r="AW130" s="7" t="n">
        <f aca="false">VLOOKUP($F130,Category!$A$2:$AZ$20,29,0)</f>
        <v>0.333333333333333</v>
      </c>
      <c r="AX130" s="7" t="n">
        <f aca="false">VLOOKUP($F130,Category!$A$2:$AZ$20,31,0)</f>
        <v>0.333333333333333</v>
      </c>
      <c r="AY130" s="7" t="n">
        <f aca="false">VLOOKUP($D130,Size!$A$2:$Z$13,16,0)</f>
        <v>3</v>
      </c>
      <c r="AZ130" s="7" t="n">
        <f aca="false">VLOOKUP($E130,Role!$A$2:$O$9,11,0)</f>
        <v>0.75</v>
      </c>
      <c r="BB130" s="5" t="n">
        <f aca="false">VLOOKUP($D130,Size!$A$2:$Z$13,19,0)</f>
        <v>12</v>
      </c>
      <c r="BC130" s="5" t="n">
        <f aca="false">VLOOKUP($D130,Size!$A$2:$Z$13,20,0)</f>
        <v>2</v>
      </c>
      <c r="BD130" s="5" t="n">
        <f aca="false">VLOOKUP($E130,Role!$A$2:$O$9,13,0)</f>
        <v>0.75</v>
      </c>
      <c r="BE130" s="5" t="n">
        <f aca="false">VLOOKUP($C130,Type!$A$2:$B$4,2,0)</f>
        <v>1</v>
      </c>
    </row>
    <row r="131" customFormat="false" ht="12.8" hidden="false" customHeight="false" outlineLevel="0" collapsed="false">
      <c r="B131" s="2" t="n">
        <v>5</v>
      </c>
      <c r="C131" s="3" t="s">
        <v>51</v>
      </c>
      <c r="D131" s="1" t="s">
        <v>72</v>
      </c>
      <c r="E131" s="1" t="s">
        <v>66</v>
      </c>
      <c r="F131" s="1" t="s">
        <v>63</v>
      </c>
      <c r="G131" s="1" t="s">
        <v>79</v>
      </c>
      <c r="H131" s="4" t="n">
        <f aca="false">VLOOKUP($D131,Size!$A$2:$F$13,6,0)</f>
        <v>3</v>
      </c>
      <c r="J131" s="12" t="n">
        <f aca="false">INT(($B131*$AY131*$AW131*$AZ131)+($B131*$AX131))</f>
        <v>6</v>
      </c>
      <c r="K131" s="4" t="n">
        <f aca="false">ROUND((($B131*$AT131)+($AV131*$AU131)),0)</f>
        <v>3</v>
      </c>
      <c r="L131" s="4" t="n">
        <f aca="false">ROUND((($B131*$AP131)+($B131*$AQ131))*$AR131,0)</f>
        <v>3</v>
      </c>
      <c r="M131" s="4" t="n">
        <f aca="false">ROUND((($B131*$AM131)+($B131*$AN131))*$AO131,0)</f>
        <v>2</v>
      </c>
      <c r="N131" s="4" t="n">
        <f aca="false">ROUND((($B131*$AG131)+($B131*$AH131))*$AI131,0)</f>
        <v>4</v>
      </c>
      <c r="O131" s="4" t="n">
        <f aca="false">ROUND((($B131*$AJ131)+($B131*$AK131))*$AL131,0)</f>
        <v>3</v>
      </c>
      <c r="Q131" s="4" t="n">
        <f aca="false">INT(VLOOKUP($E131,Role!$A$2:$O$9,8,0)*$B131)</f>
        <v>3</v>
      </c>
      <c r="R131" s="4" t="n">
        <f aca="false">INT(VLOOKUP($E131,Role!$A$2:$O$9,9,0)*$B131)</f>
        <v>3</v>
      </c>
      <c r="S131" s="4" t="n">
        <f aca="false">INT(VLOOKUP($E131,Role!$A$2:$P$9,16,0)*$B131*$AS131)</f>
        <v>1</v>
      </c>
      <c r="T131" s="4" t="n">
        <f aca="false">INT(VLOOKUP($D131,Size!$A$2:$Z$13,18,0)*VLOOKUP($E131,Role!$A$2:$O$9,13,0)*$B131/2)</f>
        <v>40</v>
      </c>
      <c r="U131" s="4" t="n">
        <f aca="false">INT(($BB131*$BE131)+($J131*$BC131))</f>
        <v>38</v>
      </c>
      <c r="V131" s="4" t="n">
        <f aca="false">INT((10+$N131)*VLOOKUP($E131,Role!$A$2:$O$9,14,0))</f>
        <v>14</v>
      </c>
      <c r="W131" s="4" t="n">
        <f aca="false">INT($J131*VLOOKUP($E131,Role!$A$2:$O$9,12,0))</f>
        <v>4</v>
      </c>
      <c r="Y131" s="2" t="n">
        <f aca="false">ROUND(MAX($K131,$M131)+(MIN($K131,$M131)*VLOOKUP($E131,Role!$A$2:$O$9,14,0)),0)</f>
        <v>5</v>
      </c>
      <c r="Z131" s="2" t="n">
        <f aca="false">MAX(1,INT(((MIN($J131:$K131)+(MAX($J131:$K131)*$H131*VLOOKUP($E131,Role!$A$2:$O$9,15,0))))*VLOOKUP($G131,Movement!$A$2:$C$7,3,0)))</f>
        <v>31</v>
      </c>
      <c r="AB131" s="5" t="n">
        <f aca="false">INT(5+(($H131-1)/3))</f>
        <v>5</v>
      </c>
      <c r="AC131" s="5" t="n">
        <f aca="false">IF($AB131&lt;$J131,$J131-MAX($AB131,$B131),0)</f>
        <v>1</v>
      </c>
      <c r="AD131" s="5" t="n">
        <f aca="false">(5-ROUND(($H131-1)/3,0))</f>
        <v>4</v>
      </c>
      <c r="AE131" s="5" t="n">
        <f aca="false">IF($AD131&lt;$K131,$K131-MAX($AD131,$B131),0)</f>
        <v>0</v>
      </c>
      <c r="AG131" s="6" t="n">
        <f aca="false">VLOOKUP($F131,Category!$A$2:$AZ$20,24,0)</f>
        <v>0</v>
      </c>
      <c r="AH131" s="6" t="n">
        <f aca="false">VLOOKUP($F131,Category!$A$2:$AZ$20,26,0)</f>
        <v>1.11111111111111</v>
      </c>
      <c r="AI131" s="6" t="n">
        <f aca="false">VLOOKUP($E131,Role!$A$2:$O$9,10,0)</f>
        <v>0.75</v>
      </c>
      <c r="AJ131" s="6" t="n">
        <f aca="false">VLOOKUP($F131,Category!$A$2:$AZ$20,19,0)</f>
        <v>0.181818181818182</v>
      </c>
      <c r="AK131" s="6" t="n">
        <f aca="false">VLOOKUP($F131,Category!$A$2:$AZ$20,21,0)</f>
        <v>0.454545454545455</v>
      </c>
      <c r="AL131" s="6" t="n">
        <f aca="false">1</f>
        <v>1</v>
      </c>
      <c r="AM131" s="6" t="n">
        <f aca="false">VLOOKUP($F131,Category!$A$2:$AZ$20,19,0)</f>
        <v>0.181818181818182</v>
      </c>
      <c r="AN131" s="6" t="n">
        <f aca="false">VLOOKUP($F131,Category!$A$2:$AZ$20,21,0)</f>
        <v>0.454545454545455</v>
      </c>
      <c r="AO131" s="6" t="n">
        <f aca="false">VLOOKUP($E131,Role!$A$2:$O$9,10,0)</f>
        <v>0.75</v>
      </c>
      <c r="AP131" s="6" t="n">
        <f aca="false">VLOOKUP($F131,Category!$A$2:$AZ$20,9,0)</f>
        <v>0.222222222222222</v>
      </c>
      <c r="AQ131" s="6" t="n">
        <f aca="false">VLOOKUP($F131,Category!$A$2:$AZ$20,11,0)</f>
        <v>0.444444444444444</v>
      </c>
      <c r="AR131" s="6" t="n">
        <f aca="false">VLOOKUP($E131,Role!$A$2:$O$9,10,0)</f>
        <v>0.75</v>
      </c>
      <c r="AS131" s="6" t="n">
        <f aca="false">VLOOKUP($F131,Category!$A$2:$AZ$20,10,0)</f>
        <v>0.666666666666667</v>
      </c>
      <c r="AT131" s="7" t="n">
        <f aca="false">VLOOKUP($F131,Category!$A$2:$AZ$20,14,0)</f>
        <v>0.333333333333333</v>
      </c>
      <c r="AU131" s="7" t="n">
        <f aca="false">VLOOKUP($F131,Category!$A$2:$AZ$20,16,0)</f>
        <v>0.416666666666667</v>
      </c>
      <c r="AV131" s="7" t="n">
        <f aca="false">VLOOKUP($D131,Size!$A$2:$Z$13,17,0)</f>
        <v>2</v>
      </c>
      <c r="AW131" s="7" t="n">
        <f aca="false">VLOOKUP($F131,Category!$A$2:$AZ$20,29,0)</f>
        <v>0.333333333333333</v>
      </c>
      <c r="AX131" s="7" t="n">
        <f aca="false">VLOOKUP($F131,Category!$A$2:$AZ$20,31,0)</f>
        <v>0.333333333333333</v>
      </c>
      <c r="AY131" s="7" t="n">
        <f aca="false">VLOOKUP($D131,Size!$A$2:$Z$13,16,0)</f>
        <v>4</v>
      </c>
      <c r="AZ131" s="7" t="n">
        <f aca="false">VLOOKUP($E131,Role!$A$2:$O$9,11,0)</f>
        <v>0.75</v>
      </c>
      <c r="BB131" s="5" t="n">
        <f aca="false">VLOOKUP($D131,Size!$A$2:$Z$13,19,0)</f>
        <v>14</v>
      </c>
      <c r="BC131" s="5" t="n">
        <f aca="false">VLOOKUP($D131,Size!$A$2:$Z$13,20,0)</f>
        <v>4</v>
      </c>
      <c r="BD131" s="5" t="n">
        <f aca="false">VLOOKUP($E131,Role!$A$2:$O$9,13,0)</f>
        <v>0.75</v>
      </c>
      <c r="BE131" s="5" t="n">
        <f aca="false">VLOOKUP($C131,Type!$A$2:$B$4,2,0)</f>
        <v>1</v>
      </c>
    </row>
    <row r="132" customFormat="false" ht="12.8" hidden="false" customHeight="false" outlineLevel="0" collapsed="false">
      <c r="B132" s="2" t="n">
        <v>5</v>
      </c>
      <c r="C132" s="3" t="s">
        <v>51</v>
      </c>
      <c r="D132" s="1" t="s">
        <v>73</v>
      </c>
      <c r="E132" s="1" t="s">
        <v>66</v>
      </c>
      <c r="F132" s="1" t="s">
        <v>63</v>
      </c>
      <c r="G132" s="1" t="s">
        <v>79</v>
      </c>
      <c r="H132" s="4" t="n">
        <f aca="false">VLOOKUP($D132,Size!$A$2:$F$13,6,0)</f>
        <v>4</v>
      </c>
      <c r="J132" s="12" t="n">
        <f aca="false">INT(($B132*$AY132*$AW132*$AZ132)+($B132*$AX132))</f>
        <v>6</v>
      </c>
      <c r="K132" s="4" t="n">
        <f aca="false">ROUND((($B132*$AT132)+($AV132*$AU132)),0)</f>
        <v>3</v>
      </c>
      <c r="L132" s="4" t="n">
        <f aca="false">ROUND((($B132*$AP132)+($B132*$AQ132))*$AR132,0)</f>
        <v>3</v>
      </c>
      <c r="M132" s="4" t="n">
        <f aca="false">ROUND((($B132*$AM132)+($B132*$AN132))*$AO132,0)</f>
        <v>2</v>
      </c>
      <c r="N132" s="4" t="n">
        <f aca="false">ROUND((($B132*$AG132)+($B132*$AH132))*$AI132,0)</f>
        <v>4</v>
      </c>
      <c r="O132" s="4" t="n">
        <f aca="false">ROUND((($B132*$AJ132)+($B132*$AK132))*$AL132,0)</f>
        <v>3</v>
      </c>
      <c r="Q132" s="4" t="n">
        <f aca="false">INT(VLOOKUP($E132,Role!$A$2:$O$9,8,0)*$B132)</f>
        <v>3</v>
      </c>
      <c r="R132" s="4" t="n">
        <f aca="false">INT(VLOOKUP($E132,Role!$A$2:$O$9,9,0)*$B132)</f>
        <v>3</v>
      </c>
      <c r="S132" s="4" t="n">
        <f aca="false">INT(VLOOKUP($E132,Role!$A$2:$P$9,16,0)*$B132*$AS132)</f>
        <v>1</v>
      </c>
      <c r="T132" s="4" t="n">
        <f aca="false">INT(VLOOKUP($D132,Size!$A$2:$Z$13,18,0)*VLOOKUP($E132,Role!$A$2:$O$9,13,0)*$B132/2)</f>
        <v>47</v>
      </c>
      <c r="U132" s="4" t="n">
        <f aca="false">INT(($BB132*$BE132)+($J132*$BC132))</f>
        <v>52</v>
      </c>
      <c r="V132" s="4" t="n">
        <f aca="false">INT((10+$N132)*VLOOKUP($E132,Role!$A$2:$O$9,14,0))</f>
        <v>14</v>
      </c>
      <c r="W132" s="4" t="n">
        <f aca="false">INT($J132*VLOOKUP($E132,Role!$A$2:$O$9,12,0))</f>
        <v>4</v>
      </c>
      <c r="Y132" s="2" t="n">
        <f aca="false">ROUND(MAX($K132,$M132)+(MIN($K132,$M132)*VLOOKUP($E132,Role!$A$2:$O$9,14,0)),0)</f>
        <v>5</v>
      </c>
      <c r="Z132" s="2" t="n">
        <f aca="false">MAX(1,INT(((MIN($J132:$K132)+(MAX($J132:$K132)*$H132*VLOOKUP($E132,Role!$A$2:$O$9,15,0))))*VLOOKUP($G132,Movement!$A$2:$C$7,3,0)))</f>
        <v>40</v>
      </c>
      <c r="AB132" s="5" t="n">
        <f aca="false">INT(5+(($H132-1)/3))</f>
        <v>6</v>
      </c>
      <c r="AC132" s="5" t="n">
        <f aca="false">IF($AB132&lt;$J132,$J132-MAX($AB132,$B132),0)</f>
        <v>0</v>
      </c>
      <c r="AD132" s="5" t="n">
        <f aca="false">(5-ROUND(($H132-1)/3,0))</f>
        <v>4</v>
      </c>
      <c r="AE132" s="5" t="n">
        <f aca="false">IF($AD132&lt;$K132,$K132-MAX($AD132,$B132),0)</f>
        <v>0</v>
      </c>
      <c r="AG132" s="6" t="n">
        <f aca="false">VLOOKUP($F132,Category!$A$2:$AZ$20,24,0)</f>
        <v>0</v>
      </c>
      <c r="AH132" s="6" t="n">
        <f aca="false">VLOOKUP($F132,Category!$A$2:$AZ$20,26,0)</f>
        <v>1.11111111111111</v>
      </c>
      <c r="AI132" s="6" t="n">
        <f aca="false">VLOOKUP($E132,Role!$A$2:$O$9,10,0)</f>
        <v>0.75</v>
      </c>
      <c r="AJ132" s="6" t="n">
        <f aca="false">VLOOKUP($F132,Category!$A$2:$AZ$20,19,0)</f>
        <v>0.181818181818182</v>
      </c>
      <c r="AK132" s="6" t="n">
        <f aca="false">VLOOKUP($F132,Category!$A$2:$AZ$20,21,0)</f>
        <v>0.454545454545455</v>
      </c>
      <c r="AL132" s="6" t="n">
        <f aca="false">1</f>
        <v>1</v>
      </c>
      <c r="AM132" s="6" t="n">
        <f aca="false">VLOOKUP($F132,Category!$A$2:$AZ$20,19,0)</f>
        <v>0.181818181818182</v>
      </c>
      <c r="AN132" s="6" t="n">
        <f aca="false">VLOOKUP($F132,Category!$A$2:$AZ$20,21,0)</f>
        <v>0.454545454545455</v>
      </c>
      <c r="AO132" s="6" t="n">
        <f aca="false">VLOOKUP($E132,Role!$A$2:$O$9,10,0)</f>
        <v>0.75</v>
      </c>
      <c r="AP132" s="6" t="n">
        <f aca="false">VLOOKUP($F132,Category!$A$2:$AZ$20,9,0)</f>
        <v>0.222222222222222</v>
      </c>
      <c r="AQ132" s="6" t="n">
        <f aca="false">VLOOKUP($F132,Category!$A$2:$AZ$20,11,0)</f>
        <v>0.444444444444444</v>
      </c>
      <c r="AR132" s="6" t="n">
        <f aca="false">VLOOKUP($E132,Role!$A$2:$O$9,10,0)</f>
        <v>0.75</v>
      </c>
      <c r="AS132" s="6" t="n">
        <f aca="false">VLOOKUP($F132,Category!$A$2:$AZ$20,10,0)</f>
        <v>0.666666666666667</v>
      </c>
      <c r="AT132" s="7" t="n">
        <f aca="false">VLOOKUP($F132,Category!$A$2:$AZ$20,14,0)</f>
        <v>0.333333333333333</v>
      </c>
      <c r="AU132" s="7" t="n">
        <f aca="false">VLOOKUP($F132,Category!$A$2:$AZ$20,16,0)</f>
        <v>0.416666666666667</v>
      </c>
      <c r="AV132" s="7" t="n">
        <f aca="false">VLOOKUP($D132,Size!$A$2:$Z$13,17,0)</f>
        <v>2</v>
      </c>
      <c r="AW132" s="7" t="n">
        <f aca="false">VLOOKUP($F132,Category!$A$2:$AZ$20,29,0)</f>
        <v>0.333333333333333</v>
      </c>
      <c r="AX132" s="7" t="n">
        <f aca="false">VLOOKUP($F132,Category!$A$2:$AZ$20,31,0)</f>
        <v>0.333333333333333</v>
      </c>
      <c r="AY132" s="7" t="n">
        <f aca="false">VLOOKUP($D132,Size!$A$2:$Z$13,16,0)</f>
        <v>4</v>
      </c>
      <c r="AZ132" s="7" t="n">
        <f aca="false">VLOOKUP($E132,Role!$A$2:$O$9,11,0)</f>
        <v>0.75</v>
      </c>
      <c r="BB132" s="5" t="n">
        <f aca="false">VLOOKUP($D132,Size!$A$2:$Z$13,19,0)</f>
        <v>16</v>
      </c>
      <c r="BC132" s="5" t="n">
        <f aca="false">VLOOKUP($D132,Size!$A$2:$Z$13,20,0)</f>
        <v>6</v>
      </c>
      <c r="BD132" s="5" t="n">
        <f aca="false">VLOOKUP($E132,Role!$A$2:$O$9,13,0)</f>
        <v>0.75</v>
      </c>
      <c r="BE132" s="5" t="n">
        <f aca="false">VLOOKUP($C132,Type!$A$2:$B$4,2,0)</f>
        <v>1</v>
      </c>
    </row>
    <row r="133" customFormat="false" ht="12.8" hidden="false" customHeight="false" outlineLevel="0" collapsed="false">
      <c r="B133" s="2" t="n">
        <v>5</v>
      </c>
      <c r="C133" s="3" t="s">
        <v>51</v>
      </c>
      <c r="D133" s="1" t="s">
        <v>74</v>
      </c>
      <c r="E133" s="1" t="s">
        <v>66</v>
      </c>
      <c r="F133" s="1" t="s">
        <v>63</v>
      </c>
      <c r="G133" s="1" t="s">
        <v>79</v>
      </c>
      <c r="H133" s="4" t="n">
        <f aca="false">VLOOKUP($D133,Size!$A$2:$F$13,6,0)</f>
        <v>5</v>
      </c>
      <c r="J133" s="12" t="n">
        <f aca="false">INT(($B133*$AY133*$AW133*$AZ133)+($B133*$AX133))</f>
        <v>7</v>
      </c>
      <c r="K133" s="4" t="n">
        <f aca="false">ROUND((($B133*$AT133)+($AV133*$AU133)),0)</f>
        <v>3</v>
      </c>
      <c r="L133" s="4" t="n">
        <f aca="false">ROUND((($B133*$AP133)+($B133*$AQ133))*$AR133,0)</f>
        <v>3</v>
      </c>
      <c r="M133" s="4" t="n">
        <f aca="false">ROUND((($B133*$AM133)+($B133*$AN133))*$AO133,0)</f>
        <v>2</v>
      </c>
      <c r="N133" s="4" t="n">
        <f aca="false">ROUND((($B133*$AG133)+($B133*$AH133))*$AI133,0)</f>
        <v>4</v>
      </c>
      <c r="O133" s="4" t="n">
        <f aca="false">ROUND((($B133*$AJ133)+($B133*$AK133))*$AL133,0)</f>
        <v>3</v>
      </c>
      <c r="Q133" s="4" t="n">
        <f aca="false">INT(VLOOKUP($E133,Role!$A$2:$O$9,8,0)*$B133)</f>
        <v>3</v>
      </c>
      <c r="R133" s="4" t="n">
        <f aca="false">INT(VLOOKUP($E133,Role!$A$2:$O$9,9,0)*$B133)</f>
        <v>3</v>
      </c>
      <c r="S133" s="4" t="n">
        <f aca="false">INT(VLOOKUP($E133,Role!$A$2:$P$9,16,0)*$B133*$AS133)</f>
        <v>1</v>
      </c>
      <c r="T133" s="4" t="n">
        <f aca="false">INT(VLOOKUP($D133,Size!$A$2:$Z$13,18,0)*VLOOKUP($E133,Role!$A$2:$O$9,13,0)*$B133/2)</f>
        <v>58</v>
      </c>
      <c r="U133" s="4" t="n">
        <f aca="false">INT(($BB133*$BE133)+($J133*$BC133))</f>
        <v>74</v>
      </c>
      <c r="V133" s="4" t="n">
        <f aca="false">INT((10+$N133)*VLOOKUP($E133,Role!$A$2:$O$9,14,0))</f>
        <v>14</v>
      </c>
      <c r="W133" s="4" t="n">
        <f aca="false">INT($J133*VLOOKUP($E133,Role!$A$2:$O$9,12,0))</f>
        <v>4</v>
      </c>
      <c r="Y133" s="2" t="n">
        <f aca="false">ROUND(MAX($K133,$M133)+(MIN($K133,$M133)*VLOOKUP($E133,Role!$A$2:$O$9,14,0)),0)</f>
        <v>5</v>
      </c>
      <c r="Z133" s="2" t="n">
        <f aca="false">MAX(1,INT(((MIN($J133:$K133)+(MAX($J133:$K133)*$H133*VLOOKUP($E133,Role!$A$2:$O$9,15,0))))*VLOOKUP($G133,Movement!$A$2:$C$7,3,0)))</f>
        <v>57</v>
      </c>
      <c r="AB133" s="5" t="n">
        <f aca="false">INT(5+(($H133-1)/3))</f>
        <v>6</v>
      </c>
      <c r="AC133" s="5" t="n">
        <f aca="false">IF($AB133&lt;$J133,$J133-MAX($AB133,$B133),0)</f>
        <v>1</v>
      </c>
      <c r="AD133" s="5" t="n">
        <f aca="false">(5-ROUND(($H133-1)/3,0))</f>
        <v>4</v>
      </c>
      <c r="AE133" s="5" t="n">
        <f aca="false">IF($AD133&lt;$K133,$K133-MAX($AD133,$B133),0)</f>
        <v>0</v>
      </c>
      <c r="AG133" s="6" t="n">
        <f aca="false">VLOOKUP($F133,Category!$A$2:$AZ$20,24,0)</f>
        <v>0</v>
      </c>
      <c r="AH133" s="6" t="n">
        <f aca="false">VLOOKUP($F133,Category!$A$2:$AZ$20,26,0)</f>
        <v>1.11111111111111</v>
      </c>
      <c r="AI133" s="6" t="n">
        <f aca="false">VLOOKUP($E133,Role!$A$2:$O$9,10,0)</f>
        <v>0.75</v>
      </c>
      <c r="AJ133" s="6" t="n">
        <f aca="false">VLOOKUP($F133,Category!$A$2:$AZ$20,19,0)</f>
        <v>0.181818181818182</v>
      </c>
      <c r="AK133" s="6" t="n">
        <f aca="false">VLOOKUP($F133,Category!$A$2:$AZ$20,21,0)</f>
        <v>0.454545454545455</v>
      </c>
      <c r="AL133" s="6" t="n">
        <f aca="false">1</f>
        <v>1</v>
      </c>
      <c r="AM133" s="6" t="n">
        <f aca="false">VLOOKUP($F133,Category!$A$2:$AZ$20,19,0)</f>
        <v>0.181818181818182</v>
      </c>
      <c r="AN133" s="6" t="n">
        <f aca="false">VLOOKUP($F133,Category!$A$2:$AZ$20,21,0)</f>
        <v>0.454545454545455</v>
      </c>
      <c r="AO133" s="6" t="n">
        <f aca="false">VLOOKUP($E133,Role!$A$2:$O$9,10,0)</f>
        <v>0.75</v>
      </c>
      <c r="AP133" s="6" t="n">
        <f aca="false">VLOOKUP($F133,Category!$A$2:$AZ$20,9,0)</f>
        <v>0.222222222222222</v>
      </c>
      <c r="AQ133" s="6" t="n">
        <f aca="false">VLOOKUP($F133,Category!$A$2:$AZ$20,11,0)</f>
        <v>0.444444444444444</v>
      </c>
      <c r="AR133" s="6" t="n">
        <f aca="false">VLOOKUP($E133,Role!$A$2:$O$9,10,0)</f>
        <v>0.75</v>
      </c>
      <c r="AS133" s="6" t="n">
        <f aca="false">VLOOKUP($F133,Category!$A$2:$AZ$20,10,0)</f>
        <v>0.666666666666667</v>
      </c>
      <c r="AT133" s="7" t="n">
        <f aca="false">VLOOKUP($F133,Category!$A$2:$AZ$20,14,0)</f>
        <v>0.333333333333333</v>
      </c>
      <c r="AU133" s="7" t="n">
        <f aca="false">VLOOKUP($F133,Category!$A$2:$AZ$20,16,0)</f>
        <v>0.416666666666667</v>
      </c>
      <c r="AV133" s="7" t="n">
        <f aca="false">VLOOKUP($D133,Size!$A$2:$Z$13,17,0)</f>
        <v>2</v>
      </c>
      <c r="AW133" s="7" t="n">
        <f aca="false">VLOOKUP($F133,Category!$A$2:$AZ$20,29,0)</f>
        <v>0.333333333333333</v>
      </c>
      <c r="AX133" s="7" t="n">
        <f aca="false">VLOOKUP($F133,Category!$A$2:$AZ$20,31,0)</f>
        <v>0.333333333333333</v>
      </c>
      <c r="AY133" s="7" t="n">
        <f aca="false">VLOOKUP($D133,Size!$A$2:$Z$13,16,0)</f>
        <v>5</v>
      </c>
      <c r="AZ133" s="7" t="n">
        <f aca="false">VLOOKUP($E133,Role!$A$2:$O$9,11,0)</f>
        <v>0.75</v>
      </c>
      <c r="BB133" s="5" t="n">
        <f aca="false">VLOOKUP($D133,Size!$A$2:$Z$13,19,0)</f>
        <v>18</v>
      </c>
      <c r="BC133" s="5" t="n">
        <f aca="false">VLOOKUP($D133,Size!$A$2:$Z$13,20,0)</f>
        <v>8</v>
      </c>
      <c r="BD133" s="5" t="n">
        <f aca="false">VLOOKUP($E133,Role!$A$2:$O$9,13,0)</f>
        <v>0.75</v>
      </c>
      <c r="BE133" s="5" t="n">
        <f aca="false">VLOOKUP($C133,Type!$A$2:$B$4,2,0)</f>
        <v>1</v>
      </c>
    </row>
    <row r="134" customFormat="false" ht="12.8" hidden="false" customHeight="false" outlineLevel="0" collapsed="false">
      <c r="B134" s="2" t="n">
        <v>5</v>
      </c>
      <c r="C134" s="3" t="s">
        <v>51</v>
      </c>
      <c r="D134" s="1" t="s">
        <v>75</v>
      </c>
      <c r="E134" s="1" t="s">
        <v>66</v>
      </c>
      <c r="F134" s="1" t="s">
        <v>63</v>
      </c>
      <c r="G134" s="1" t="s">
        <v>79</v>
      </c>
      <c r="H134" s="4" t="n">
        <f aca="false">VLOOKUP($D134,Size!$A$2:$F$13,6,0)</f>
        <v>6</v>
      </c>
      <c r="J134" s="12" t="n">
        <f aca="false">INT(($B134*$AY134*$AW134*$AZ134)+($B134*$AX134))</f>
        <v>7</v>
      </c>
      <c r="K134" s="4" t="n">
        <f aca="false">ROUND((($B134*$AT134)+($AV134*$AU134)),0)</f>
        <v>3</v>
      </c>
      <c r="L134" s="4" t="n">
        <f aca="false">ROUND((($B134*$AP134)+($B134*$AQ134))*$AR134,0)</f>
        <v>3</v>
      </c>
      <c r="M134" s="4" t="n">
        <f aca="false">ROUND((($B134*$AM134)+($B134*$AN134))*$AO134,0)</f>
        <v>2</v>
      </c>
      <c r="N134" s="4" t="n">
        <f aca="false">ROUND((($B134*$AG134)+($B134*$AH134))*$AI134,0)</f>
        <v>4</v>
      </c>
      <c r="O134" s="4" t="n">
        <f aca="false">ROUND((($B134*$AJ134)+($B134*$AK134))*$AL134,0)</f>
        <v>3</v>
      </c>
      <c r="Q134" s="4" t="n">
        <f aca="false">INT(VLOOKUP($E134,Role!$A$2:$O$9,8,0)*$B134)</f>
        <v>3</v>
      </c>
      <c r="R134" s="4" t="n">
        <f aca="false">INT(VLOOKUP($E134,Role!$A$2:$O$9,9,0)*$B134)</f>
        <v>3</v>
      </c>
      <c r="S134" s="4" t="n">
        <f aca="false">INT(VLOOKUP($E134,Role!$A$2:$P$9,16,0)*$B134*$AS134)</f>
        <v>1</v>
      </c>
      <c r="T134" s="4" t="n">
        <f aca="false">INT(VLOOKUP($D134,Size!$A$2:$Z$13,18,0)*VLOOKUP($E134,Role!$A$2:$O$9,13,0)*$B134/2)</f>
        <v>72</v>
      </c>
      <c r="U134" s="4" t="n">
        <f aca="false">INT(($BB134*$BE134)+($J134*$BC134))</f>
        <v>90</v>
      </c>
      <c r="V134" s="4" t="n">
        <f aca="false">INT((10+$N134)*VLOOKUP($E134,Role!$A$2:$O$9,14,0))</f>
        <v>14</v>
      </c>
      <c r="W134" s="4" t="n">
        <f aca="false">INT($J134*VLOOKUP($E134,Role!$A$2:$O$9,12,0))</f>
        <v>4</v>
      </c>
      <c r="Y134" s="2" t="n">
        <f aca="false">ROUND(MAX($K134,$M134)+(MIN($K134,$M134)*VLOOKUP($E134,Role!$A$2:$O$9,14,0)),0)</f>
        <v>5</v>
      </c>
      <c r="Z134" s="2" t="n">
        <f aca="false">MAX(1,INT(((MIN($J134:$K134)+(MAX($J134:$K134)*$H134*VLOOKUP($E134,Role!$A$2:$O$9,15,0))))*VLOOKUP($G134,Movement!$A$2:$C$7,3,0)))</f>
        <v>67</v>
      </c>
      <c r="AB134" s="5" t="n">
        <f aca="false">INT(5+(($H134-1)/3))</f>
        <v>6</v>
      </c>
      <c r="AC134" s="5" t="n">
        <f aca="false">IF($AB134&lt;$J134,$J134-MAX($AB134,$B134),0)</f>
        <v>1</v>
      </c>
      <c r="AD134" s="5" t="n">
        <f aca="false">(5-ROUND(($H134-1)/3,0))</f>
        <v>3</v>
      </c>
      <c r="AE134" s="5" t="n">
        <f aca="false">IF($AD134&lt;$K134,$K134-MAX($AD134,$B134),0)</f>
        <v>0</v>
      </c>
      <c r="AG134" s="6" t="n">
        <f aca="false">VLOOKUP($F134,Category!$A$2:$AZ$20,24,0)</f>
        <v>0</v>
      </c>
      <c r="AH134" s="6" t="n">
        <f aca="false">VLOOKUP($F134,Category!$A$2:$AZ$20,26,0)</f>
        <v>1.11111111111111</v>
      </c>
      <c r="AI134" s="6" t="n">
        <f aca="false">VLOOKUP($E134,Role!$A$2:$O$9,10,0)</f>
        <v>0.75</v>
      </c>
      <c r="AJ134" s="6" t="n">
        <f aca="false">VLOOKUP($F134,Category!$A$2:$AZ$20,19,0)</f>
        <v>0.181818181818182</v>
      </c>
      <c r="AK134" s="6" t="n">
        <f aca="false">VLOOKUP($F134,Category!$A$2:$AZ$20,21,0)</f>
        <v>0.454545454545455</v>
      </c>
      <c r="AL134" s="6" t="n">
        <f aca="false">1</f>
        <v>1</v>
      </c>
      <c r="AM134" s="6" t="n">
        <f aca="false">VLOOKUP($F134,Category!$A$2:$AZ$20,19,0)</f>
        <v>0.181818181818182</v>
      </c>
      <c r="AN134" s="6" t="n">
        <f aca="false">VLOOKUP($F134,Category!$A$2:$AZ$20,21,0)</f>
        <v>0.454545454545455</v>
      </c>
      <c r="AO134" s="6" t="n">
        <f aca="false">VLOOKUP($E134,Role!$A$2:$O$9,10,0)</f>
        <v>0.75</v>
      </c>
      <c r="AP134" s="6" t="n">
        <f aca="false">VLOOKUP($F134,Category!$A$2:$AZ$20,9,0)</f>
        <v>0.222222222222222</v>
      </c>
      <c r="AQ134" s="6" t="n">
        <f aca="false">VLOOKUP($F134,Category!$A$2:$AZ$20,11,0)</f>
        <v>0.444444444444444</v>
      </c>
      <c r="AR134" s="6" t="n">
        <f aca="false">VLOOKUP($E134,Role!$A$2:$O$9,10,0)</f>
        <v>0.75</v>
      </c>
      <c r="AS134" s="6" t="n">
        <f aca="false">VLOOKUP($F134,Category!$A$2:$AZ$20,10,0)</f>
        <v>0.666666666666667</v>
      </c>
      <c r="AT134" s="7" t="n">
        <f aca="false">VLOOKUP($F134,Category!$A$2:$AZ$20,14,0)</f>
        <v>0.333333333333333</v>
      </c>
      <c r="AU134" s="7" t="n">
        <f aca="false">VLOOKUP($F134,Category!$A$2:$AZ$20,16,0)</f>
        <v>0.416666666666667</v>
      </c>
      <c r="AV134" s="7" t="n">
        <f aca="false">VLOOKUP($D134,Size!$A$2:$Z$13,17,0)</f>
        <v>2</v>
      </c>
      <c r="AW134" s="7" t="n">
        <f aca="false">VLOOKUP($F134,Category!$A$2:$AZ$20,29,0)</f>
        <v>0.333333333333333</v>
      </c>
      <c r="AX134" s="7" t="n">
        <f aca="false">VLOOKUP($F134,Category!$A$2:$AZ$20,31,0)</f>
        <v>0.333333333333333</v>
      </c>
      <c r="AY134" s="7" t="n">
        <f aca="false">VLOOKUP($D134,Size!$A$2:$Z$13,16,0)</f>
        <v>5</v>
      </c>
      <c r="AZ134" s="7" t="n">
        <f aca="false">VLOOKUP($E134,Role!$A$2:$O$9,11,0)</f>
        <v>0.75</v>
      </c>
      <c r="BB134" s="5" t="n">
        <f aca="false">VLOOKUP($D134,Size!$A$2:$Z$13,19,0)</f>
        <v>20</v>
      </c>
      <c r="BC134" s="5" t="n">
        <f aca="false">VLOOKUP($D134,Size!$A$2:$Z$13,20,0)</f>
        <v>10</v>
      </c>
      <c r="BD134" s="5" t="n">
        <f aca="false">VLOOKUP($E134,Role!$A$2:$O$9,13,0)</f>
        <v>0.75</v>
      </c>
      <c r="BE134" s="5" t="n">
        <f aca="false">VLOOKUP($C134,Type!$A$2:$B$4,2,0)</f>
        <v>1</v>
      </c>
    </row>
    <row r="135" customFormat="false" ht="12.8" hidden="false" customHeight="false" outlineLevel="0" collapsed="false">
      <c r="B135" s="2" t="n">
        <v>5</v>
      </c>
      <c r="C135" s="3" t="s">
        <v>81</v>
      </c>
      <c r="D135" s="1" t="s">
        <v>76</v>
      </c>
      <c r="E135" s="1" t="s">
        <v>66</v>
      </c>
      <c r="F135" s="1" t="s">
        <v>63</v>
      </c>
      <c r="G135" s="1" t="s">
        <v>79</v>
      </c>
      <c r="H135" s="4" t="n">
        <f aca="false">VLOOKUP($D135,Size!$A$2:$F$13,6,0)</f>
        <v>7</v>
      </c>
      <c r="J135" s="12" t="n">
        <f aca="false">INT(($B135*$AY135*$AW135*$AZ135)+($B135*$AX135))</f>
        <v>7</v>
      </c>
      <c r="K135" s="4" t="n">
        <f aca="false">ROUND((($B135*$AT135)+($AV135*$AU135)),0)</f>
        <v>3</v>
      </c>
      <c r="L135" s="4" t="n">
        <f aca="false">ROUND((($B135*$AP135)+($B135*$AQ135))*$AR135,0)</f>
        <v>3</v>
      </c>
      <c r="M135" s="4" t="n">
        <f aca="false">ROUND((($B135*$AM135)+($B135*$AN135))*$AO135,0)</f>
        <v>2</v>
      </c>
      <c r="N135" s="4" t="n">
        <f aca="false">ROUND((($B135*$AG135)+($B135*$AH135))*$AI135,0)</f>
        <v>4</v>
      </c>
      <c r="O135" s="4" t="n">
        <f aca="false">ROUND((($B135*$AJ135)+($B135*$AK135))*$AL135,0)</f>
        <v>3</v>
      </c>
      <c r="Q135" s="4" t="n">
        <f aca="false">INT(VLOOKUP($E135,Role!$A$2:$O$9,8,0)*$B135)</f>
        <v>3</v>
      </c>
      <c r="R135" s="4" t="n">
        <f aca="false">INT(VLOOKUP($E135,Role!$A$2:$O$9,9,0)*$B135)</f>
        <v>3</v>
      </c>
      <c r="S135" s="4" t="n">
        <f aca="false">INT(VLOOKUP($E135,Role!$A$2:$P$9,16,0)*$B135*$AS135)</f>
        <v>1</v>
      </c>
      <c r="T135" s="4" t="n">
        <f aca="false">INT(VLOOKUP($D135,Size!$A$2:$Z$13,18,0)*VLOOKUP($E135,Role!$A$2:$O$9,13,0)*$B135/2)</f>
        <v>87</v>
      </c>
      <c r="U135" s="4" t="n">
        <f aca="false">INT(($BB135*$BE135)+($J135*$BC135))</f>
        <v>117</v>
      </c>
      <c r="V135" s="4" t="n">
        <f aca="false">INT((10+$N135)*VLOOKUP($E135,Role!$A$2:$O$9,14,0))</f>
        <v>14</v>
      </c>
      <c r="W135" s="4" t="n">
        <f aca="false">INT($J135*VLOOKUP($E135,Role!$A$2:$O$9,12,0))</f>
        <v>4</v>
      </c>
      <c r="Y135" s="2" t="n">
        <f aca="false">ROUND(MAX($K135,$M135)+(MIN($K135,$M135)*VLOOKUP($E135,Role!$A$2:$O$9,14,0)),0)</f>
        <v>5</v>
      </c>
      <c r="Z135" s="2" t="n">
        <f aca="false">MAX(1,INT(((MIN($J135:$K135)+(MAX($J135:$K135)*$H135*VLOOKUP($E135,Role!$A$2:$O$9,15,0))))*VLOOKUP($G135,Movement!$A$2:$C$7,3,0)))</f>
        <v>78</v>
      </c>
      <c r="AB135" s="5" t="n">
        <f aca="false">INT(5+(($H135-1)/3))</f>
        <v>7</v>
      </c>
      <c r="AC135" s="5" t="n">
        <f aca="false">IF($AB135&lt;$J135,$J135-MAX($AB135,$B135),0)</f>
        <v>0</v>
      </c>
      <c r="AD135" s="5" t="n">
        <f aca="false">(5-ROUND(($H135-1)/3,0))</f>
        <v>3</v>
      </c>
      <c r="AE135" s="5" t="n">
        <f aca="false">IF($AD135&lt;$K135,$K135-MAX($AD135,$B135),0)</f>
        <v>0</v>
      </c>
      <c r="AG135" s="6" t="n">
        <f aca="false">VLOOKUP($F135,Category!$A$2:$AZ$20,24,0)</f>
        <v>0</v>
      </c>
      <c r="AH135" s="6" t="n">
        <f aca="false">VLOOKUP($F135,Category!$A$2:$AZ$20,26,0)</f>
        <v>1.11111111111111</v>
      </c>
      <c r="AI135" s="6" t="n">
        <f aca="false">VLOOKUP($E135,Role!$A$2:$O$9,10,0)</f>
        <v>0.75</v>
      </c>
      <c r="AJ135" s="6" t="n">
        <f aca="false">VLOOKUP($F135,Category!$A$2:$AZ$20,19,0)</f>
        <v>0.181818181818182</v>
      </c>
      <c r="AK135" s="6" t="n">
        <f aca="false">VLOOKUP($F135,Category!$A$2:$AZ$20,21,0)</f>
        <v>0.454545454545455</v>
      </c>
      <c r="AL135" s="6" t="n">
        <f aca="false">1</f>
        <v>1</v>
      </c>
      <c r="AM135" s="6" t="n">
        <f aca="false">VLOOKUP($F135,Category!$A$2:$AZ$20,19,0)</f>
        <v>0.181818181818182</v>
      </c>
      <c r="AN135" s="6" t="n">
        <f aca="false">VLOOKUP($F135,Category!$A$2:$AZ$20,21,0)</f>
        <v>0.454545454545455</v>
      </c>
      <c r="AO135" s="6" t="n">
        <f aca="false">VLOOKUP($E135,Role!$A$2:$O$9,10,0)</f>
        <v>0.75</v>
      </c>
      <c r="AP135" s="6" t="n">
        <f aca="false">VLOOKUP($F135,Category!$A$2:$AZ$20,9,0)</f>
        <v>0.222222222222222</v>
      </c>
      <c r="AQ135" s="6" t="n">
        <f aca="false">VLOOKUP($F135,Category!$A$2:$AZ$20,11,0)</f>
        <v>0.444444444444444</v>
      </c>
      <c r="AR135" s="6" t="n">
        <f aca="false">VLOOKUP($E135,Role!$A$2:$O$9,10,0)</f>
        <v>0.75</v>
      </c>
      <c r="AS135" s="6" t="n">
        <f aca="false">VLOOKUP($F135,Category!$A$2:$AZ$20,10,0)</f>
        <v>0.666666666666667</v>
      </c>
      <c r="AT135" s="7" t="n">
        <f aca="false">VLOOKUP($F135,Category!$A$2:$AZ$20,14,0)</f>
        <v>0.333333333333333</v>
      </c>
      <c r="AU135" s="7" t="n">
        <f aca="false">VLOOKUP($F135,Category!$A$2:$AZ$20,16,0)</f>
        <v>0.416666666666667</v>
      </c>
      <c r="AV135" s="7" t="n">
        <f aca="false">VLOOKUP($D135,Size!$A$2:$Z$13,17,0)</f>
        <v>2</v>
      </c>
      <c r="AW135" s="7" t="n">
        <f aca="false">VLOOKUP($F135,Category!$A$2:$AZ$20,29,0)</f>
        <v>0.333333333333333</v>
      </c>
      <c r="AX135" s="7" t="n">
        <f aca="false">VLOOKUP($F135,Category!$A$2:$AZ$20,31,0)</f>
        <v>0.333333333333333</v>
      </c>
      <c r="AY135" s="7" t="n">
        <f aca="false">VLOOKUP($D135,Size!$A$2:$Z$13,16,0)</f>
        <v>5</v>
      </c>
      <c r="AZ135" s="7" t="n">
        <f aca="false">VLOOKUP($E135,Role!$A$2:$O$9,11,0)</f>
        <v>0.75</v>
      </c>
      <c r="BB135" s="5" t="n">
        <f aca="false">VLOOKUP($D135,Size!$A$2:$Z$13,19,0)</f>
        <v>22</v>
      </c>
      <c r="BC135" s="5" t="n">
        <f aca="false">VLOOKUP($D135,Size!$A$2:$Z$13,20,0)</f>
        <v>12</v>
      </c>
      <c r="BD135" s="5" t="n">
        <f aca="false">VLOOKUP($E135,Role!$A$2:$O$9,13,0)</f>
        <v>0.75</v>
      </c>
      <c r="BE135" s="5" t="n">
        <f aca="false">VLOOKUP($C135,Type!$A$2:$B$4,2,0)</f>
        <v>1.5</v>
      </c>
    </row>
  </sheetData>
  <conditionalFormatting sqref="J1:P1048576">
    <cfRule type="cellIs" priority="2" operator="greaterThan" aboveAverage="0" equalAverage="0" bottom="0" percent="0" rank="0" text="" dxfId="0">
      <formula>5</formula>
    </cfRule>
  </conditionalFormatting>
  <dataValidations count="5">
    <dataValidation allowBlank="true" operator="equal" showDropDown="false" showErrorMessage="true" showInputMessage="false" sqref="D2:D49 D51:D61 D63:D73 D75:D85 D87:D97 D99:D109 D111 D113:D123 D125:D135" type="list">
      <formula1>Size!$A$2:$A$13</formula1>
      <formula2>0</formula2>
    </dataValidation>
    <dataValidation allowBlank="true" operator="equal" showDropDown="false" showErrorMessage="true" showInputMessage="false" sqref="E2:E49 E51:E61 E63:E73 E75:E85 E87:E97 E99:E109 E111 E113:E123 E125:E135" type="list">
      <formula1>Role!$A$2:$A$9</formula1>
      <formula2>0</formula2>
    </dataValidation>
    <dataValidation allowBlank="true" operator="equal" showDropDown="false" showErrorMessage="true" showInputMessage="false" sqref="F2:F111 F113:F123 F125:F135" type="list">
      <formula1>Category!$A$2:$A$20</formula1>
      <formula2>0</formula2>
    </dataValidation>
    <dataValidation allowBlank="true" operator="equal" showDropDown="false" showErrorMessage="true" showInputMessage="false" sqref="G2:G109 G111 G113:G123 G125:G135" type="list">
      <formula1>Movement!$A$2:$A$7</formula1>
      <formula2>0</formula2>
    </dataValidation>
    <dataValidation allowBlank="true" operator="equal" showDropDown="false" showErrorMessage="true" showInputMessage="false" sqref="C2:C135" type="list">
      <formula1>Type!$A$2:$A$4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13" t="s">
        <v>2</v>
      </c>
      <c r="B1" s="13" t="s">
        <v>48</v>
      </c>
    </row>
    <row r="2" customFormat="false" ht="12.8" hidden="false" customHeight="false" outlineLevel="0" collapsed="false">
      <c r="A2" s="0" t="s">
        <v>57</v>
      </c>
      <c r="B2" s="0" t="n">
        <v>0.5</v>
      </c>
    </row>
    <row r="3" customFormat="false" ht="12.8" hidden="false" customHeight="false" outlineLevel="0" collapsed="false">
      <c r="A3" s="0" t="s">
        <v>51</v>
      </c>
      <c r="B3" s="0" t="n">
        <v>1</v>
      </c>
    </row>
    <row r="4" customFormat="false" ht="12.8" hidden="false" customHeight="false" outlineLevel="0" collapsed="false">
      <c r="A4" s="0" t="s">
        <v>81</v>
      </c>
      <c r="B4" s="0" t="n">
        <v>1.5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2.8" zeroHeight="false" outlineLevelRow="0" outlineLevelCol="0"/>
  <cols>
    <col collapsed="false" customWidth="true" hidden="false" outlineLevel="0" max="1" min="1" style="0" width="23.34"/>
    <col collapsed="false" customWidth="false" hidden="false" outlineLevel="0" max="1025" min="2" style="0" width="11.52"/>
  </cols>
  <sheetData>
    <row r="1" customFormat="false" ht="12.8" hidden="false" customHeight="false" outlineLevel="0" collapsed="false">
      <c r="A1" s="13" t="s">
        <v>82</v>
      </c>
      <c r="B1" s="13" t="s">
        <v>83</v>
      </c>
      <c r="C1" s="13" t="s">
        <v>84</v>
      </c>
    </row>
    <row r="2" customFormat="false" ht="12.8" hidden="false" customHeight="false" outlineLevel="0" collapsed="false">
      <c r="A2" s="0" t="s">
        <v>55</v>
      </c>
      <c r="B2" s="0" t="n">
        <v>20</v>
      </c>
      <c r="C2" s="0" t="n">
        <f aca="false">$B2/20</f>
        <v>1</v>
      </c>
    </row>
    <row r="3" customFormat="false" ht="12.8" hidden="false" customHeight="false" outlineLevel="0" collapsed="false">
      <c r="A3" s="0" t="s">
        <v>85</v>
      </c>
      <c r="B3" s="0" t="n">
        <v>44</v>
      </c>
      <c r="C3" s="0" t="n">
        <f aca="false">$B3/20</f>
        <v>2.2</v>
      </c>
    </row>
    <row r="4" customFormat="false" ht="12.8" hidden="false" customHeight="false" outlineLevel="0" collapsed="false">
      <c r="A4" s="0" t="s">
        <v>86</v>
      </c>
      <c r="B4" s="0" t="n">
        <v>40</v>
      </c>
      <c r="C4" s="0" t="n">
        <f aca="false">$B4/20</f>
        <v>2</v>
      </c>
    </row>
    <row r="5" customFormat="false" ht="12.8" hidden="false" customHeight="false" outlineLevel="0" collapsed="false">
      <c r="A5" s="0" t="s">
        <v>79</v>
      </c>
      <c r="B5" s="0" t="n">
        <v>30</v>
      </c>
      <c r="C5" s="0" t="n">
        <f aca="false">$B5/20</f>
        <v>1.5</v>
      </c>
    </row>
    <row r="6" customFormat="false" ht="12.8" hidden="false" customHeight="false" outlineLevel="0" collapsed="false">
      <c r="A6" s="0" t="s">
        <v>87</v>
      </c>
      <c r="B6" s="0" t="n">
        <v>36</v>
      </c>
      <c r="C6" s="0" t="n">
        <f aca="false">$B6/20</f>
        <v>1.8</v>
      </c>
    </row>
    <row r="7" customFormat="false" ht="12.8" hidden="false" customHeight="false" outlineLevel="0" collapsed="false">
      <c r="A7" s="0" t="s">
        <v>88</v>
      </c>
      <c r="B7" s="0" t="n">
        <v>400</v>
      </c>
      <c r="C7" s="0" t="n">
        <f aca="false">$B7/20</f>
        <v>20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5" activeCellId="0" sqref="H15"/>
    </sheetView>
  </sheetViews>
  <sheetFormatPr defaultRowHeight="12.8" zeroHeight="false" outlineLevelRow="0" outlineLevelCol="0"/>
  <cols>
    <col collapsed="false" customWidth="true" hidden="false" outlineLevel="0" max="1" min="1" style="0" width="16.26"/>
    <col collapsed="false" customWidth="true" hidden="false" outlineLevel="0" max="31" min="2" style="0" width="4.99"/>
    <col collapsed="false" customWidth="false" hidden="false" outlineLevel="0" max="1025" min="32" style="0" width="11.52"/>
  </cols>
  <sheetData>
    <row r="1" customFormat="false" ht="12.8" hidden="false" customHeight="false" outlineLevel="0" collapsed="false">
      <c r="A1" s="13" t="s">
        <v>2</v>
      </c>
      <c r="B1" s="13" t="s">
        <v>89</v>
      </c>
      <c r="C1" s="13"/>
      <c r="D1" s="13"/>
      <c r="E1" s="13"/>
      <c r="F1" s="13"/>
      <c r="G1" s="13" t="s">
        <v>90</v>
      </c>
      <c r="H1" s="13"/>
      <c r="I1" s="13"/>
      <c r="J1" s="13"/>
      <c r="K1" s="13"/>
      <c r="L1" s="13" t="s">
        <v>91</v>
      </c>
      <c r="M1" s="13"/>
      <c r="N1" s="13"/>
      <c r="O1" s="13"/>
      <c r="P1" s="13"/>
      <c r="Q1" s="13" t="s">
        <v>92</v>
      </c>
      <c r="R1" s="13"/>
      <c r="S1" s="13"/>
      <c r="T1" s="13"/>
      <c r="U1" s="13"/>
      <c r="V1" s="13" t="s">
        <v>93</v>
      </c>
      <c r="W1" s="13"/>
      <c r="X1" s="13"/>
      <c r="Y1" s="13"/>
      <c r="AA1" s="13" t="s">
        <v>94</v>
      </c>
    </row>
    <row r="2" customFormat="false" ht="12.8" hidden="false" customHeight="false" outlineLevel="0" collapsed="false">
      <c r="A2" s="0" t="s">
        <v>95</v>
      </c>
      <c r="B2" s="14" t="n">
        <v>2</v>
      </c>
      <c r="C2" s="14" t="n">
        <v>8</v>
      </c>
      <c r="D2" s="15" t="n">
        <f aca="false">B2/9</f>
        <v>0.222222222222222</v>
      </c>
      <c r="E2" s="15" t="n">
        <f aca="false">C2/9</f>
        <v>0.888888888888889</v>
      </c>
      <c r="F2" s="16" t="n">
        <f aca="false">E2-D2</f>
        <v>0.666666666666667</v>
      </c>
      <c r="G2" s="14" t="n">
        <v>1</v>
      </c>
      <c r="H2" s="14" t="n">
        <v>9</v>
      </c>
      <c r="I2" s="15" t="n">
        <f aca="false">G2/9</f>
        <v>0.111111111111111</v>
      </c>
      <c r="J2" s="15" t="n">
        <f aca="false">H2/9</f>
        <v>1</v>
      </c>
      <c r="K2" s="16" t="n">
        <f aca="false">J2-I2</f>
        <v>0.888888888888889</v>
      </c>
      <c r="L2" s="14" t="n">
        <v>4</v>
      </c>
      <c r="M2" s="14" t="n">
        <v>8</v>
      </c>
      <c r="N2" s="15" t="n">
        <f aca="false">L2/12</f>
        <v>0.333333333333333</v>
      </c>
      <c r="O2" s="15" t="n">
        <f aca="false">M2/12</f>
        <v>0.666666666666667</v>
      </c>
      <c r="P2" s="16" t="n">
        <f aca="false">O2-N2</f>
        <v>0.333333333333333</v>
      </c>
      <c r="Q2" s="14" t="n">
        <v>1</v>
      </c>
      <c r="R2" s="14" t="n">
        <v>9</v>
      </c>
      <c r="S2" s="15" t="n">
        <f aca="false">Q2/11</f>
        <v>0.0909090909090909</v>
      </c>
      <c r="T2" s="15" t="n">
        <f aca="false">R2/11</f>
        <v>0.818181818181818</v>
      </c>
      <c r="U2" s="16" t="n">
        <f aca="false">T2-S2</f>
        <v>0.727272727272727</v>
      </c>
      <c r="V2" s="14" t="n">
        <v>0</v>
      </c>
      <c r="W2" s="14" t="n">
        <v>6</v>
      </c>
      <c r="X2" s="15" t="n">
        <f aca="false">V2/9</f>
        <v>0</v>
      </c>
      <c r="Y2" s="15" t="n">
        <f aca="false">W2/9</f>
        <v>0.666666666666667</v>
      </c>
      <c r="Z2" s="16" t="n">
        <f aca="false">Y2-X2</f>
        <v>0.666666666666667</v>
      </c>
      <c r="AA2" s="14" t="n">
        <v>3</v>
      </c>
      <c r="AB2" s="14" t="n">
        <v>6</v>
      </c>
      <c r="AC2" s="15" t="n">
        <f aca="false">AA2/9</f>
        <v>0.333333333333333</v>
      </c>
      <c r="AD2" s="15" t="n">
        <f aca="false">AB2/9</f>
        <v>0.666666666666667</v>
      </c>
      <c r="AE2" s="16" t="n">
        <f aca="false">AD2-AC2</f>
        <v>0.333333333333333</v>
      </c>
    </row>
    <row r="3" customFormat="false" ht="12.8" hidden="false" customHeight="false" outlineLevel="0" collapsed="false">
      <c r="A3" s="0" t="s">
        <v>67</v>
      </c>
      <c r="B3" s="14" t="n">
        <v>4</v>
      </c>
      <c r="C3" s="14" t="n">
        <v>7</v>
      </c>
      <c r="D3" s="15" t="n">
        <f aca="false">B3/9</f>
        <v>0.444444444444444</v>
      </c>
      <c r="E3" s="15" t="n">
        <f aca="false">C3/9</f>
        <v>0.777777777777778</v>
      </c>
      <c r="F3" s="16" t="n">
        <f aca="false">E3-D3</f>
        <v>0.333333333333333</v>
      </c>
      <c r="G3" s="14" t="n">
        <v>0</v>
      </c>
      <c r="H3" s="14" t="n">
        <v>5</v>
      </c>
      <c r="I3" s="15" t="n">
        <f aca="false">G3/9</f>
        <v>0</v>
      </c>
      <c r="J3" s="15" t="n">
        <f aca="false">H3/9</f>
        <v>0.555555555555556</v>
      </c>
      <c r="K3" s="16" t="n">
        <f aca="false">J3-I3</f>
        <v>0.555555555555556</v>
      </c>
      <c r="L3" s="14" t="n">
        <v>5</v>
      </c>
      <c r="M3" s="14" t="n">
        <v>8</v>
      </c>
      <c r="N3" s="15" t="n">
        <f aca="false">L3/12</f>
        <v>0.416666666666667</v>
      </c>
      <c r="O3" s="15" t="n">
        <f aca="false">M3/12</f>
        <v>0.666666666666667</v>
      </c>
      <c r="P3" s="16" t="n">
        <f aca="false">O3-N3</f>
        <v>0.25</v>
      </c>
      <c r="Q3" s="14" t="n">
        <v>1</v>
      </c>
      <c r="R3" s="14" t="n">
        <v>7</v>
      </c>
      <c r="S3" s="15" t="n">
        <f aca="false">Q3/11</f>
        <v>0.0909090909090909</v>
      </c>
      <c r="T3" s="15" t="n">
        <f aca="false">R3/11</f>
        <v>0.636363636363636</v>
      </c>
      <c r="U3" s="16" t="n">
        <f aca="false">T3-S3</f>
        <v>0.545454545454545</v>
      </c>
      <c r="V3" s="14" t="n">
        <v>0</v>
      </c>
      <c r="W3" s="14" t="n">
        <v>3</v>
      </c>
      <c r="X3" s="15" t="n">
        <f aca="false">V3/9</f>
        <v>0</v>
      </c>
      <c r="Y3" s="15" t="n">
        <f aca="false">W3/9</f>
        <v>0.333333333333333</v>
      </c>
      <c r="Z3" s="16" t="n">
        <f aca="false">Y3-X3</f>
        <v>0.333333333333333</v>
      </c>
      <c r="AA3" s="14" t="n">
        <v>3</v>
      </c>
      <c r="AB3" s="14" t="n">
        <v>6</v>
      </c>
      <c r="AC3" s="15" t="n">
        <f aca="false">AA3/9</f>
        <v>0.333333333333333</v>
      </c>
      <c r="AD3" s="15" t="n">
        <f aca="false">AB3/9</f>
        <v>0.666666666666667</v>
      </c>
      <c r="AE3" s="16" t="n">
        <f aca="false">AD3-AC3</f>
        <v>0.333333333333333</v>
      </c>
    </row>
    <row r="4" customFormat="false" ht="12.8" hidden="false" customHeight="false" outlineLevel="0" collapsed="false">
      <c r="A4" s="0" t="s">
        <v>80</v>
      </c>
      <c r="B4" s="14" t="n">
        <v>5</v>
      </c>
      <c r="C4" s="14" t="n">
        <v>8</v>
      </c>
      <c r="D4" s="15" t="n">
        <f aca="false">B4/9</f>
        <v>0.555555555555556</v>
      </c>
      <c r="E4" s="15" t="n">
        <f aca="false">C4/9</f>
        <v>0.888888888888889</v>
      </c>
      <c r="F4" s="16" t="n">
        <f aca="false">E4-D4</f>
        <v>0.333333333333333</v>
      </c>
      <c r="G4" s="14" t="n">
        <v>2</v>
      </c>
      <c r="H4" s="14" t="n">
        <v>6</v>
      </c>
      <c r="I4" s="15" t="n">
        <f aca="false">G4/9</f>
        <v>0.222222222222222</v>
      </c>
      <c r="J4" s="15" t="n">
        <f aca="false">H4/9</f>
        <v>0.666666666666667</v>
      </c>
      <c r="K4" s="16" t="n">
        <f aca="false">J4-I4</f>
        <v>0.444444444444444</v>
      </c>
      <c r="L4" s="14" t="n">
        <v>5</v>
      </c>
      <c r="M4" s="14" t="n">
        <v>8</v>
      </c>
      <c r="N4" s="15" t="n">
        <f aca="false">L4/12</f>
        <v>0.416666666666667</v>
      </c>
      <c r="O4" s="15" t="n">
        <f aca="false">M4/12</f>
        <v>0.666666666666667</v>
      </c>
      <c r="P4" s="16" t="n">
        <f aca="false">O4-N4</f>
        <v>0.25</v>
      </c>
      <c r="Q4" s="14" t="n">
        <v>1</v>
      </c>
      <c r="R4" s="14" t="n">
        <v>7</v>
      </c>
      <c r="S4" s="15" t="n">
        <f aca="false">Q4/11</f>
        <v>0.0909090909090909</v>
      </c>
      <c r="T4" s="15" t="n">
        <f aca="false">R4/11</f>
        <v>0.636363636363636</v>
      </c>
      <c r="U4" s="16" t="n">
        <f aca="false">T4-S4</f>
        <v>0.545454545454545</v>
      </c>
      <c r="V4" s="14" t="n">
        <v>1</v>
      </c>
      <c r="W4" s="14" t="n">
        <v>5</v>
      </c>
      <c r="X4" s="15" t="n">
        <f aca="false">V4/9</f>
        <v>0.111111111111111</v>
      </c>
      <c r="Y4" s="15" t="n">
        <f aca="false">W4/9</f>
        <v>0.555555555555556</v>
      </c>
      <c r="Z4" s="16" t="n">
        <f aca="false">Y4-X4</f>
        <v>0.444444444444444</v>
      </c>
      <c r="AA4" s="14" t="n">
        <v>3</v>
      </c>
      <c r="AB4" s="14" t="n">
        <v>7</v>
      </c>
      <c r="AC4" s="15" t="n">
        <f aca="false">AA4/9</f>
        <v>0.333333333333333</v>
      </c>
      <c r="AD4" s="15" t="n">
        <f aca="false">AB4/9</f>
        <v>0.777777777777778</v>
      </c>
      <c r="AE4" s="16" t="n">
        <f aca="false">AD4-AC4</f>
        <v>0.444444444444444</v>
      </c>
    </row>
    <row r="5" customFormat="false" ht="12.8" hidden="false" customHeight="false" outlineLevel="0" collapsed="false">
      <c r="A5" s="0" t="s">
        <v>96</v>
      </c>
      <c r="B5" s="14" t="n">
        <v>7</v>
      </c>
      <c r="C5" s="14" t="n">
        <v>10</v>
      </c>
      <c r="D5" s="15" t="n">
        <f aca="false">B5/9</f>
        <v>0.777777777777778</v>
      </c>
      <c r="E5" s="15" t="n">
        <f aca="false">C5/9</f>
        <v>1.11111111111111</v>
      </c>
      <c r="F5" s="16" t="n">
        <f aca="false">E5-D5</f>
        <v>0.333333333333333</v>
      </c>
      <c r="G5" s="14" t="n">
        <v>5</v>
      </c>
      <c r="H5" s="14" t="n">
        <v>10</v>
      </c>
      <c r="I5" s="15" t="n">
        <f aca="false">G5/9</f>
        <v>0.555555555555556</v>
      </c>
      <c r="J5" s="15" t="n">
        <f aca="false">H5/9</f>
        <v>1.11111111111111</v>
      </c>
      <c r="K5" s="16" t="n">
        <f aca="false">J5-I5</f>
        <v>0.555555555555556</v>
      </c>
      <c r="L5" s="14" t="n">
        <v>7</v>
      </c>
      <c r="M5" s="14" t="n">
        <v>11</v>
      </c>
      <c r="N5" s="15" t="n">
        <f aca="false">L5/12</f>
        <v>0.583333333333333</v>
      </c>
      <c r="O5" s="15" t="n">
        <f aca="false">M5/12</f>
        <v>0.916666666666667</v>
      </c>
      <c r="P5" s="16" t="n">
        <f aca="false">O5-N5</f>
        <v>0.333333333333333</v>
      </c>
      <c r="Q5" s="14" t="n">
        <v>6</v>
      </c>
      <c r="R5" s="14" t="n">
        <v>15</v>
      </c>
      <c r="S5" s="15" t="n">
        <f aca="false">Q5/11</f>
        <v>0.545454545454545</v>
      </c>
      <c r="T5" s="15" t="n">
        <f aca="false">R5/11</f>
        <v>1.36363636363636</v>
      </c>
      <c r="U5" s="16" t="n">
        <f aca="false">T5-S5</f>
        <v>0.818181818181818</v>
      </c>
      <c r="V5" s="14" t="n">
        <v>5</v>
      </c>
      <c r="W5" s="14" t="n">
        <v>10</v>
      </c>
      <c r="X5" s="15" t="n">
        <f aca="false">V5/9</f>
        <v>0.555555555555556</v>
      </c>
      <c r="Y5" s="15" t="n">
        <f aca="false">W5/9</f>
        <v>1.11111111111111</v>
      </c>
      <c r="Z5" s="16" t="n">
        <f aca="false">Y5-X5</f>
        <v>0.555555555555556</v>
      </c>
      <c r="AA5" s="14" t="n">
        <v>3</v>
      </c>
      <c r="AB5" s="14" t="n">
        <v>8</v>
      </c>
      <c r="AC5" s="15" t="n">
        <f aca="false">AA5/9</f>
        <v>0.333333333333333</v>
      </c>
      <c r="AD5" s="15" t="n">
        <f aca="false">AB5/9</f>
        <v>0.888888888888889</v>
      </c>
      <c r="AE5" s="16" t="n">
        <f aca="false">AD5-AC5</f>
        <v>0.555555555555556</v>
      </c>
    </row>
    <row r="6" customFormat="false" ht="12.8" hidden="false" customHeight="false" outlineLevel="0" collapsed="false">
      <c r="A6" s="0" t="s">
        <v>97</v>
      </c>
      <c r="B6" s="14" t="n">
        <v>1</v>
      </c>
      <c r="C6" s="14" t="n">
        <v>5</v>
      </c>
      <c r="D6" s="15" t="n">
        <f aca="false">B6/9</f>
        <v>0.111111111111111</v>
      </c>
      <c r="E6" s="15" t="n">
        <f aca="false">C6/9</f>
        <v>0.555555555555556</v>
      </c>
      <c r="F6" s="16" t="n">
        <f aca="false">E6-D6</f>
        <v>0.444444444444444</v>
      </c>
      <c r="G6" s="14" t="n">
        <v>0</v>
      </c>
      <c r="H6" s="14" t="n">
        <v>5</v>
      </c>
      <c r="I6" s="15" t="n">
        <f aca="false">G6/9</f>
        <v>0</v>
      </c>
      <c r="J6" s="15" t="n">
        <f aca="false">H6/9</f>
        <v>0.555555555555556</v>
      </c>
      <c r="K6" s="16" t="n">
        <f aca="false">J6-I6</f>
        <v>0.555555555555556</v>
      </c>
      <c r="L6" s="14" t="n">
        <v>4</v>
      </c>
      <c r="M6" s="14" t="n">
        <v>7</v>
      </c>
      <c r="N6" s="15" t="n">
        <f aca="false">L6/12</f>
        <v>0.333333333333333</v>
      </c>
      <c r="O6" s="15" t="n">
        <f aca="false">M6/12</f>
        <v>0.583333333333333</v>
      </c>
      <c r="P6" s="16" t="n">
        <f aca="false">O6-N6</f>
        <v>0.25</v>
      </c>
      <c r="Q6" s="14" t="n">
        <v>0</v>
      </c>
      <c r="R6" s="14" t="n">
        <v>7</v>
      </c>
      <c r="S6" s="15" t="n">
        <f aca="false">Q6/11</f>
        <v>0</v>
      </c>
      <c r="T6" s="15" t="n">
        <f aca="false">R6/11</f>
        <v>0.636363636363636</v>
      </c>
      <c r="U6" s="16" t="n">
        <f aca="false">T6-S6</f>
        <v>0.636363636363636</v>
      </c>
      <c r="V6" s="14" t="n">
        <v>0</v>
      </c>
      <c r="W6" s="14" t="n">
        <v>5</v>
      </c>
      <c r="X6" s="15" t="n">
        <f aca="false">V6/9</f>
        <v>0</v>
      </c>
      <c r="Y6" s="15" t="n">
        <f aca="false">W6/9</f>
        <v>0.555555555555556</v>
      </c>
      <c r="Z6" s="16" t="n">
        <f aca="false">Y6-X6</f>
        <v>0.555555555555556</v>
      </c>
      <c r="AA6" s="14" t="n">
        <v>3</v>
      </c>
      <c r="AB6" s="14" t="n">
        <v>8</v>
      </c>
      <c r="AC6" s="15" t="n">
        <f aca="false">AA6/9</f>
        <v>0.333333333333333</v>
      </c>
      <c r="AD6" s="15" t="n">
        <f aca="false">AB6/9</f>
        <v>0.888888888888889</v>
      </c>
      <c r="AE6" s="16" t="n">
        <f aca="false">AD6-AC6</f>
        <v>0.555555555555556</v>
      </c>
    </row>
    <row r="7" customFormat="false" ht="12.8" hidden="false" customHeight="false" outlineLevel="0" collapsed="false">
      <c r="A7" s="0" t="s">
        <v>98</v>
      </c>
      <c r="B7" s="14" t="n">
        <v>5</v>
      </c>
      <c r="C7" s="14" t="n">
        <v>8</v>
      </c>
      <c r="D7" s="15" t="n">
        <f aca="false">B7/9</f>
        <v>0.555555555555556</v>
      </c>
      <c r="E7" s="15" t="n">
        <f aca="false">C7/9</f>
        <v>0.888888888888889</v>
      </c>
      <c r="F7" s="16" t="n">
        <f aca="false">E7-D7</f>
        <v>0.333333333333333</v>
      </c>
      <c r="G7" s="14" t="n">
        <v>2</v>
      </c>
      <c r="H7" s="14" t="n">
        <v>10</v>
      </c>
      <c r="I7" s="15" t="n">
        <f aca="false">G7/9</f>
        <v>0.222222222222222</v>
      </c>
      <c r="J7" s="15" t="n">
        <f aca="false">H7/9</f>
        <v>1.11111111111111</v>
      </c>
      <c r="K7" s="16" t="n">
        <f aca="false">J7-I7</f>
        <v>0.888888888888889</v>
      </c>
      <c r="L7" s="14" t="n">
        <v>5</v>
      </c>
      <c r="M7" s="14" t="n">
        <v>8</v>
      </c>
      <c r="N7" s="15" t="n">
        <f aca="false">L7/12</f>
        <v>0.416666666666667</v>
      </c>
      <c r="O7" s="15" t="n">
        <f aca="false">M7/12</f>
        <v>0.666666666666667</v>
      </c>
      <c r="P7" s="16" t="n">
        <f aca="false">O7-N7</f>
        <v>0.25</v>
      </c>
      <c r="Q7" s="14" t="n">
        <v>5</v>
      </c>
      <c r="R7" s="14" t="n">
        <v>10</v>
      </c>
      <c r="S7" s="15" t="n">
        <f aca="false">Q7/11</f>
        <v>0.454545454545455</v>
      </c>
      <c r="T7" s="15" t="n">
        <f aca="false">R7/11</f>
        <v>0.909090909090909</v>
      </c>
      <c r="U7" s="16" t="n">
        <f aca="false">T7-S7</f>
        <v>0.454545454545455</v>
      </c>
      <c r="V7" s="14" t="n">
        <v>1</v>
      </c>
      <c r="W7" s="14" t="n">
        <v>10</v>
      </c>
      <c r="X7" s="15" t="n">
        <f aca="false">V7/9</f>
        <v>0.111111111111111</v>
      </c>
      <c r="Y7" s="15" t="n">
        <f aca="false">W7/9</f>
        <v>1.11111111111111</v>
      </c>
      <c r="Z7" s="16" t="n">
        <f aca="false">Y7-X7</f>
        <v>1</v>
      </c>
      <c r="AA7" s="14" t="n">
        <v>3</v>
      </c>
      <c r="AB7" s="14" t="n">
        <v>10</v>
      </c>
      <c r="AC7" s="15" t="n">
        <f aca="false">AA7/9</f>
        <v>0.333333333333333</v>
      </c>
      <c r="AD7" s="15" t="n">
        <f aca="false">AB7/9</f>
        <v>1.11111111111111</v>
      </c>
      <c r="AE7" s="16" t="n">
        <f aca="false">AD7-AC7</f>
        <v>0.777777777777778</v>
      </c>
    </row>
    <row r="8" customFormat="false" ht="12.8" hidden="false" customHeight="false" outlineLevel="0" collapsed="false">
      <c r="A8" s="0" t="s">
        <v>54</v>
      </c>
      <c r="B8" s="14" t="n">
        <v>5</v>
      </c>
      <c r="C8" s="14" t="n">
        <v>8</v>
      </c>
      <c r="D8" s="15" t="n">
        <f aca="false">B8/9</f>
        <v>0.555555555555556</v>
      </c>
      <c r="E8" s="15" t="n">
        <f aca="false">C8/9</f>
        <v>0.888888888888889</v>
      </c>
      <c r="F8" s="16" t="n">
        <f aca="false">E8-D8</f>
        <v>0.333333333333333</v>
      </c>
      <c r="G8" s="14" t="n">
        <v>2</v>
      </c>
      <c r="H8" s="14" t="n">
        <v>9</v>
      </c>
      <c r="I8" s="15" t="n">
        <f aca="false">G8/9</f>
        <v>0.222222222222222</v>
      </c>
      <c r="J8" s="15" t="n">
        <f aca="false">H8/9</f>
        <v>1</v>
      </c>
      <c r="K8" s="16" t="n">
        <f aca="false">J8-I8</f>
        <v>0.777777777777778</v>
      </c>
      <c r="L8" s="14" t="n">
        <v>4</v>
      </c>
      <c r="M8" s="14" t="n">
        <v>10</v>
      </c>
      <c r="N8" s="15" t="n">
        <f aca="false">L8/12</f>
        <v>0.333333333333333</v>
      </c>
      <c r="O8" s="15" t="n">
        <f aca="false">M8/12</f>
        <v>0.833333333333333</v>
      </c>
      <c r="P8" s="16" t="n">
        <f aca="false">O8-N8</f>
        <v>0.5</v>
      </c>
      <c r="Q8" s="14" t="n">
        <v>2</v>
      </c>
      <c r="R8" s="14" t="n">
        <v>10</v>
      </c>
      <c r="S8" s="15" t="n">
        <f aca="false">Q8/11</f>
        <v>0.181818181818182</v>
      </c>
      <c r="T8" s="15" t="n">
        <f aca="false">R8/11</f>
        <v>0.909090909090909</v>
      </c>
      <c r="U8" s="16" t="n">
        <f aca="false">T8-S8</f>
        <v>0.727272727272727</v>
      </c>
      <c r="V8" s="14" t="n">
        <v>2</v>
      </c>
      <c r="W8" s="14" t="n">
        <v>8</v>
      </c>
      <c r="X8" s="15" t="n">
        <f aca="false">V8/9</f>
        <v>0.222222222222222</v>
      </c>
      <c r="Y8" s="15" t="n">
        <f aca="false">W8/9</f>
        <v>0.888888888888889</v>
      </c>
      <c r="Z8" s="16" t="n">
        <f aca="false">Y8-X8</f>
        <v>0.666666666666667</v>
      </c>
      <c r="AA8" s="14" t="n">
        <v>3</v>
      </c>
      <c r="AB8" s="14" t="n">
        <v>7</v>
      </c>
      <c r="AC8" s="15" t="n">
        <f aca="false">AA8/9</f>
        <v>0.333333333333333</v>
      </c>
      <c r="AD8" s="15" t="n">
        <f aca="false">AB8/9</f>
        <v>0.777777777777778</v>
      </c>
      <c r="AE8" s="16" t="n">
        <f aca="false">AD8-AC8</f>
        <v>0.444444444444444</v>
      </c>
    </row>
    <row r="9" customFormat="false" ht="12.8" hidden="false" customHeight="false" outlineLevel="0" collapsed="false">
      <c r="A9" s="0" t="s">
        <v>99</v>
      </c>
      <c r="B9" s="14" t="n">
        <v>6</v>
      </c>
      <c r="C9" s="14" t="n">
        <v>7</v>
      </c>
      <c r="D9" s="15" t="n">
        <f aca="false">B9/9</f>
        <v>0.666666666666667</v>
      </c>
      <c r="E9" s="15" t="n">
        <f aca="false">C9/9</f>
        <v>0.777777777777778</v>
      </c>
      <c r="F9" s="16" t="n">
        <f aca="false">E9-D9</f>
        <v>0.111111111111111</v>
      </c>
      <c r="G9" s="14" t="n">
        <v>5</v>
      </c>
      <c r="H9" s="14" t="n">
        <v>7</v>
      </c>
      <c r="I9" s="15" t="n">
        <f aca="false">G9/9</f>
        <v>0.555555555555556</v>
      </c>
      <c r="J9" s="15" t="n">
        <f aca="false">H9/9</f>
        <v>0.777777777777778</v>
      </c>
      <c r="K9" s="16" t="n">
        <f aca="false">J9-I9</f>
        <v>0.222222222222222</v>
      </c>
      <c r="L9" s="14" t="n">
        <v>6</v>
      </c>
      <c r="M9" s="14" t="n">
        <v>8</v>
      </c>
      <c r="N9" s="15" t="n">
        <f aca="false">L9/12</f>
        <v>0.5</v>
      </c>
      <c r="O9" s="15" t="n">
        <f aca="false">M9/12</f>
        <v>0.666666666666667</v>
      </c>
      <c r="P9" s="16" t="n">
        <f aca="false">O9-N9</f>
        <v>0.166666666666667</v>
      </c>
      <c r="Q9" s="14" t="n">
        <v>5</v>
      </c>
      <c r="R9" s="14" t="n">
        <v>9</v>
      </c>
      <c r="S9" s="15" t="n">
        <f aca="false">Q9/11</f>
        <v>0.454545454545455</v>
      </c>
      <c r="T9" s="15" t="n">
        <f aca="false">R9/11</f>
        <v>0.818181818181818</v>
      </c>
      <c r="U9" s="16" t="n">
        <f aca="false">T9-S9</f>
        <v>0.363636363636364</v>
      </c>
      <c r="V9" s="14" t="n">
        <v>5</v>
      </c>
      <c r="W9" s="14" t="n">
        <v>8</v>
      </c>
      <c r="X9" s="15" t="n">
        <f aca="false">V9/9</f>
        <v>0.555555555555556</v>
      </c>
      <c r="Y9" s="15" t="n">
        <f aca="false">W9/9</f>
        <v>0.888888888888889</v>
      </c>
      <c r="Z9" s="16" t="n">
        <f aca="false">Y9-X9</f>
        <v>0.333333333333333</v>
      </c>
      <c r="AA9" s="14" t="n">
        <v>3</v>
      </c>
      <c r="AB9" s="14" t="n">
        <v>6</v>
      </c>
      <c r="AC9" s="15" t="n">
        <f aca="false">AA9/9</f>
        <v>0.333333333333333</v>
      </c>
      <c r="AD9" s="15" t="n">
        <f aca="false">AB9/9</f>
        <v>0.666666666666667</v>
      </c>
      <c r="AE9" s="16" t="n">
        <f aca="false">AD9-AC9</f>
        <v>0.333333333333333</v>
      </c>
    </row>
    <row r="10" customFormat="false" ht="12.8" hidden="false" customHeight="false" outlineLevel="0" collapsed="false">
      <c r="A10" s="0" t="s">
        <v>64</v>
      </c>
      <c r="B10" s="14" t="n">
        <v>4</v>
      </c>
      <c r="C10" s="14" t="n">
        <v>8</v>
      </c>
      <c r="D10" s="15" t="n">
        <f aca="false">B10/9</f>
        <v>0.444444444444444</v>
      </c>
      <c r="E10" s="15" t="n">
        <f aca="false">C10/9</f>
        <v>0.888888888888889</v>
      </c>
      <c r="F10" s="16" t="n">
        <f aca="false">E10-D10</f>
        <v>0.444444444444444</v>
      </c>
      <c r="G10" s="14" t="n">
        <v>1</v>
      </c>
      <c r="H10" s="14" t="n">
        <v>9</v>
      </c>
      <c r="I10" s="15" t="n">
        <f aca="false">G10/9</f>
        <v>0.111111111111111</v>
      </c>
      <c r="J10" s="15" t="n">
        <f aca="false">H10/9</f>
        <v>1</v>
      </c>
      <c r="K10" s="16" t="n">
        <f aca="false">J10-I10</f>
        <v>0.888888888888889</v>
      </c>
      <c r="L10" s="14" t="n">
        <v>4</v>
      </c>
      <c r="M10" s="14" t="n">
        <v>10</v>
      </c>
      <c r="N10" s="15" t="n">
        <f aca="false">L10/12</f>
        <v>0.333333333333333</v>
      </c>
      <c r="O10" s="15" t="n">
        <f aca="false">M10/12</f>
        <v>0.833333333333333</v>
      </c>
      <c r="P10" s="16" t="n">
        <f aca="false">O10-N10</f>
        <v>0.5</v>
      </c>
      <c r="Q10" s="14" t="n">
        <v>1</v>
      </c>
      <c r="R10" s="14" t="n">
        <v>10</v>
      </c>
      <c r="S10" s="15" t="n">
        <f aca="false">Q10/11</f>
        <v>0.0909090909090909</v>
      </c>
      <c r="T10" s="15" t="n">
        <f aca="false">R10/11</f>
        <v>0.909090909090909</v>
      </c>
      <c r="U10" s="16" t="n">
        <f aca="false">T10-S10</f>
        <v>0.818181818181818</v>
      </c>
      <c r="V10" s="14" t="n">
        <v>1</v>
      </c>
      <c r="W10" s="14" t="n">
        <v>10</v>
      </c>
      <c r="X10" s="15" t="n">
        <f aca="false">V10/9</f>
        <v>0.111111111111111</v>
      </c>
      <c r="Y10" s="15" t="n">
        <f aca="false">W10/9</f>
        <v>1.11111111111111</v>
      </c>
      <c r="Z10" s="16" t="n">
        <f aca="false">Y10-X10</f>
        <v>1</v>
      </c>
      <c r="AA10" s="14" t="n">
        <v>3</v>
      </c>
      <c r="AB10" s="14" t="n">
        <v>8</v>
      </c>
      <c r="AC10" s="15" t="n">
        <f aca="false">AA10/9</f>
        <v>0.333333333333333</v>
      </c>
      <c r="AD10" s="15" t="n">
        <f aca="false">AB10/9</f>
        <v>0.888888888888889</v>
      </c>
      <c r="AE10" s="16" t="n">
        <f aca="false">AD10-AC10</f>
        <v>0.555555555555556</v>
      </c>
    </row>
    <row r="11" customFormat="false" ht="12.8" hidden="false" customHeight="false" outlineLevel="0" collapsed="false">
      <c r="A11" s="0" t="s">
        <v>100</v>
      </c>
      <c r="B11" s="14" t="n">
        <v>4</v>
      </c>
      <c r="C11" s="14" t="n">
        <v>9</v>
      </c>
      <c r="D11" s="15" t="n">
        <f aca="false">B11/9</f>
        <v>0.444444444444444</v>
      </c>
      <c r="E11" s="15" t="n">
        <f aca="false">C11/9</f>
        <v>1</v>
      </c>
      <c r="F11" s="16" t="n">
        <f aca="false">E11-D11</f>
        <v>0.555555555555556</v>
      </c>
      <c r="G11" s="14" t="n">
        <v>2</v>
      </c>
      <c r="H11" s="14" t="n">
        <v>8</v>
      </c>
      <c r="I11" s="15" t="n">
        <f aca="false">G11/9</f>
        <v>0.222222222222222</v>
      </c>
      <c r="J11" s="15" t="n">
        <f aca="false">H11/9</f>
        <v>0.888888888888889</v>
      </c>
      <c r="K11" s="16" t="n">
        <f aca="false">J11-I11</f>
        <v>0.666666666666667</v>
      </c>
      <c r="L11" s="14" t="n">
        <v>4</v>
      </c>
      <c r="M11" s="14" t="n">
        <v>7</v>
      </c>
      <c r="N11" s="15" t="n">
        <f aca="false">L11/12</f>
        <v>0.333333333333333</v>
      </c>
      <c r="O11" s="15" t="n">
        <f aca="false">M11/12</f>
        <v>0.583333333333333</v>
      </c>
      <c r="P11" s="16" t="n">
        <f aca="false">O11-N11</f>
        <v>0.25</v>
      </c>
      <c r="Q11" s="14" t="n">
        <v>3</v>
      </c>
      <c r="R11" s="14" t="n">
        <v>9</v>
      </c>
      <c r="S11" s="15" t="n">
        <f aca="false">Q11/11</f>
        <v>0.272727272727273</v>
      </c>
      <c r="T11" s="15" t="n">
        <f aca="false">R11/11</f>
        <v>0.818181818181818</v>
      </c>
      <c r="U11" s="16" t="n">
        <f aca="false">T11-S11</f>
        <v>0.545454545454546</v>
      </c>
      <c r="V11" s="14" t="n">
        <v>0</v>
      </c>
      <c r="W11" s="14" t="n">
        <v>9</v>
      </c>
      <c r="X11" s="15" t="n">
        <f aca="false">V11/9</f>
        <v>0</v>
      </c>
      <c r="Y11" s="15" t="n">
        <f aca="false">W11/9</f>
        <v>1</v>
      </c>
      <c r="Z11" s="16" t="n">
        <f aca="false">Y11-X11</f>
        <v>1</v>
      </c>
      <c r="AA11" s="14" t="n">
        <v>3</v>
      </c>
      <c r="AB11" s="14" t="n">
        <v>10</v>
      </c>
      <c r="AC11" s="15" t="n">
        <f aca="false">AA11/9</f>
        <v>0.333333333333333</v>
      </c>
      <c r="AD11" s="15" t="n">
        <f aca="false">AB11/9</f>
        <v>1.11111111111111</v>
      </c>
      <c r="AE11" s="16" t="n">
        <f aca="false">AD11-AC11</f>
        <v>0.777777777777778</v>
      </c>
    </row>
    <row r="12" customFormat="false" ht="12.8" hidden="false" customHeight="false" outlineLevel="0" collapsed="false">
      <c r="A12" s="0" t="s">
        <v>77</v>
      </c>
      <c r="B12" s="14" t="n">
        <v>4</v>
      </c>
      <c r="C12" s="14" t="n">
        <v>8</v>
      </c>
      <c r="D12" s="15" t="n">
        <f aca="false">B12/9</f>
        <v>0.444444444444444</v>
      </c>
      <c r="E12" s="15" t="n">
        <f aca="false">C12/9</f>
        <v>0.888888888888889</v>
      </c>
      <c r="F12" s="16" t="n">
        <f aca="false">E12-D12</f>
        <v>0.444444444444444</v>
      </c>
      <c r="G12" s="14" t="n">
        <v>4</v>
      </c>
      <c r="H12" s="14" t="n">
        <v>10</v>
      </c>
      <c r="I12" s="15" t="n">
        <f aca="false">G12/9</f>
        <v>0.444444444444444</v>
      </c>
      <c r="J12" s="15" t="n">
        <f aca="false">H12/9</f>
        <v>1.11111111111111</v>
      </c>
      <c r="K12" s="16" t="n">
        <f aca="false">J12-I12</f>
        <v>0.666666666666667</v>
      </c>
      <c r="L12" s="14" t="n">
        <v>4</v>
      </c>
      <c r="M12" s="14" t="n">
        <v>7</v>
      </c>
      <c r="N12" s="15" t="n">
        <f aca="false">L12/12</f>
        <v>0.333333333333333</v>
      </c>
      <c r="O12" s="15" t="n">
        <f aca="false">M12/12</f>
        <v>0.583333333333333</v>
      </c>
      <c r="P12" s="16" t="n">
        <f aca="false">O12-N12</f>
        <v>0.25</v>
      </c>
      <c r="Q12" s="14" t="n">
        <v>4</v>
      </c>
      <c r="R12" s="14" t="n">
        <v>7</v>
      </c>
      <c r="S12" s="15" t="n">
        <f aca="false">Q12/11</f>
        <v>0.363636363636364</v>
      </c>
      <c r="T12" s="15" t="n">
        <f aca="false">R12/11</f>
        <v>0.636363636363636</v>
      </c>
      <c r="U12" s="16" t="n">
        <f aca="false">T12-S12</f>
        <v>0.272727272727273</v>
      </c>
      <c r="V12" s="14" t="n">
        <v>0</v>
      </c>
      <c r="W12" s="14" t="n">
        <v>10</v>
      </c>
      <c r="X12" s="15" t="n">
        <f aca="false">V12/9</f>
        <v>0</v>
      </c>
      <c r="Y12" s="15" t="n">
        <f aca="false">W12/9</f>
        <v>1.11111111111111</v>
      </c>
      <c r="Z12" s="16" t="n">
        <f aca="false">Y12-X12</f>
        <v>1.11111111111111</v>
      </c>
      <c r="AA12" s="14" t="n">
        <v>3</v>
      </c>
      <c r="AB12" s="14" t="n">
        <v>6</v>
      </c>
      <c r="AC12" s="15" t="n">
        <f aca="false">AA12/9</f>
        <v>0.333333333333333</v>
      </c>
      <c r="AD12" s="15" t="n">
        <f aca="false">AB12/9</f>
        <v>0.666666666666667</v>
      </c>
      <c r="AE12" s="16" t="n">
        <f aca="false">AD12-AC12</f>
        <v>0.333333333333333</v>
      </c>
    </row>
    <row r="13" customFormat="false" ht="12.8" hidden="false" customHeight="false" outlineLevel="0" collapsed="false">
      <c r="A13" s="0" t="s">
        <v>101</v>
      </c>
      <c r="B13" s="14" t="n">
        <v>4</v>
      </c>
      <c r="C13" s="14" t="n">
        <v>7</v>
      </c>
      <c r="D13" s="15" t="n">
        <f aca="false">B13/9</f>
        <v>0.444444444444444</v>
      </c>
      <c r="E13" s="15" t="n">
        <f aca="false">C13/9</f>
        <v>0.777777777777778</v>
      </c>
      <c r="F13" s="16" t="n">
        <f aca="false">E13-D13</f>
        <v>0.333333333333333</v>
      </c>
      <c r="G13" s="14" t="n">
        <v>0</v>
      </c>
      <c r="H13" s="14" t="n">
        <v>5</v>
      </c>
      <c r="I13" s="15" t="n">
        <f aca="false">G13/9</f>
        <v>0</v>
      </c>
      <c r="J13" s="15" t="n">
        <f aca="false">H13/9</f>
        <v>0.555555555555556</v>
      </c>
      <c r="K13" s="16" t="n">
        <f aca="false">J13-I13</f>
        <v>0.555555555555556</v>
      </c>
      <c r="L13" s="14" t="n">
        <v>5</v>
      </c>
      <c r="M13" s="14" t="n">
        <v>8</v>
      </c>
      <c r="N13" s="15" t="n">
        <f aca="false">L13/12</f>
        <v>0.416666666666667</v>
      </c>
      <c r="O13" s="15" t="n">
        <f aca="false">M13/12</f>
        <v>0.666666666666667</v>
      </c>
      <c r="P13" s="16" t="n">
        <f aca="false">O13-N13</f>
        <v>0.25</v>
      </c>
      <c r="Q13" s="14" t="n">
        <v>1</v>
      </c>
      <c r="R13" s="14" t="n">
        <v>7</v>
      </c>
      <c r="S13" s="15" t="n">
        <f aca="false">Q13/11</f>
        <v>0.0909090909090909</v>
      </c>
      <c r="T13" s="15" t="n">
        <f aca="false">R13/11</f>
        <v>0.636363636363636</v>
      </c>
      <c r="U13" s="16" t="n">
        <f aca="false">T13-S13</f>
        <v>0.545454545454545</v>
      </c>
      <c r="V13" s="14" t="n">
        <v>0</v>
      </c>
      <c r="W13" s="14" t="n">
        <v>3</v>
      </c>
      <c r="X13" s="15" t="n">
        <f aca="false">V13/9</f>
        <v>0</v>
      </c>
      <c r="Y13" s="15" t="n">
        <f aca="false">W13/9</f>
        <v>0.333333333333333</v>
      </c>
      <c r="Z13" s="16" t="n">
        <f aca="false">Y13-X13</f>
        <v>0.333333333333333</v>
      </c>
      <c r="AA13" s="14" t="n">
        <v>3</v>
      </c>
      <c r="AB13" s="14" t="n">
        <v>6</v>
      </c>
      <c r="AC13" s="15" t="n">
        <f aca="false">AA13/9</f>
        <v>0.333333333333333</v>
      </c>
      <c r="AD13" s="15" t="n">
        <f aca="false">AB13/9</f>
        <v>0.666666666666667</v>
      </c>
      <c r="AE13" s="16" t="n">
        <f aca="false">AD13-AC13</f>
        <v>0.333333333333333</v>
      </c>
    </row>
    <row r="14" customFormat="false" ht="12.8" hidden="false" customHeight="false" outlineLevel="0" collapsed="false">
      <c r="A14" s="0" t="s">
        <v>63</v>
      </c>
      <c r="B14" s="14" t="n">
        <v>4</v>
      </c>
      <c r="C14" s="14" t="n">
        <v>7</v>
      </c>
      <c r="D14" s="15" t="n">
        <f aca="false">B14/9</f>
        <v>0.444444444444444</v>
      </c>
      <c r="E14" s="15" t="n">
        <f aca="false">C14/9</f>
        <v>0.777777777777778</v>
      </c>
      <c r="F14" s="16" t="n">
        <f aca="false">E14-D14</f>
        <v>0.333333333333333</v>
      </c>
      <c r="G14" s="14" t="n">
        <v>2</v>
      </c>
      <c r="H14" s="14" t="n">
        <v>6</v>
      </c>
      <c r="I14" s="15" t="n">
        <f aca="false">G14/9</f>
        <v>0.222222222222222</v>
      </c>
      <c r="J14" s="15" t="n">
        <f aca="false">H14/9</f>
        <v>0.666666666666667</v>
      </c>
      <c r="K14" s="16" t="n">
        <f aca="false">J14-I14</f>
        <v>0.444444444444444</v>
      </c>
      <c r="L14" s="14" t="n">
        <v>4</v>
      </c>
      <c r="M14" s="14" t="n">
        <v>9</v>
      </c>
      <c r="N14" s="15" t="n">
        <f aca="false">L14/12</f>
        <v>0.333333333333333</v>
      </c>
      <c r="O14" s="15" t="n">
        <f aca="false">M14/12</f>
        <v>0.75</v>
      </c>
      <c r="P14" s="16" t="n">
        <f aca="false">O14-N14</f>
        <v>0.416666666666667</v>
      </c>
      <c r="Q14" s="14" t="n">
        <v>2</v>
      </c>
      <c r="R14" s="14" t="n">
        <v>7</v>
      </c>
      <c r="S14" s="15" t="n">
        <f aca="false">Q14/11</f>
        <v>0.181818181818182</v>
      </c>
      <c r="T14" s="15" t="n">
        <f aca="false">R14/11</f>
        <v>0.636363636363636</v>
      </c>
      <c r="U14" s="16" t="n">
        <f aca="false">T14-S14</f>
        <v>0.454545454545455</v>
      </c>
      <c r="V14" s="14" t="n">
        <v>0</v>
      </c>
      <c r="W14" s="14" t="n">
        <v>10</v>
      </c>
      <c r="X14" s="15" t="n">
        <f aca="false">V14/9</f>
        <v>0</v>
      </c>
      <c r="Y14" s="15" t="n">
        <f aca="false">W14/9</f>
        <v>1.11111111111111</v>
      </c>
      <c r="Z14" s="16" t="n">
        <f aca="false">Y14-X14</f>
        <v>1.11111111111111</v>
      </c>
      <c r="AA14" s="14" t="n">
        <v>3</v>
      </c>
      <c r="AB14" s="14" t="n">
        <v>6</v>
      </c>
      <c r="AC14" s="15" t="n">
        <f aca="false">AA14/9</f>
        <v>0.333333333333333</v>
      </c>
      <c r="AD14" s="15" t="n">
        <f aca="false">AB14/9</f>
        <v>0.666666666666667</v>
      </c>
      <c r="AE14" s="16" t="n">
        <f aca="false">AD14-AC14</f>
        <v>0.333333333333333</v>
      </c>
    </row>
    <row r="15" customFormat="false" ht="12.8" hidden="false" customHeight="false" outlineLevel="0" collapsed="false">
      <c r="A15" s="0" t="s">
        <v>102</v>
      </c>
      <c r="B15" s="14" t="n">
        <v>3</v>
      </c>
      <c r="C15" s="14" t="n">
        <v>3</v>
      </c>
      <c r="D15" s="15" t="n">
        <f aca="false">B15/9</f>
        <v>0.333333333333333</v>
      </c>
      <c r="E15" s="15" t="n">
        <f aca="false">C15/9</f>
        <v>0.333333333333333</v>
      </c>
      <c r="F15" s="16" t="n">
        <f aca="false">E15-D15</f>
        <v>0</v>
      </c>
      <c r="G15" s="14" t="n">
        <v>0</v>
      </c>
      <c r="H15" s="14" t="n">
        <v>1</v>
      </c>
      <c r="I15" s="15" t="n">
        <f aca="false">G15/9</f>
        <v>0</v>
      </c>
      <c r="J15" s="15" t="n">
        <f aca="false">H15/9</f>
        <v>0.111111111111111</v>
      </c>
      <c r="K15" s="16" t="n">
        <f aca="false">J15-I15</f>
        <v>0.111111111111111</v>
      </c>
      <c r="L15" s="14" t="n">
        <v>1</v>
      </c>
      <c r="M15" s="14" t="n">
        <v>3</v>
      </c>
      <c r="N15" s="15" t="n">
        <f aca="false">L15/12</f>
        <v>0.0833333333333333</v>
      </c>
      <c r="O15" s="15" t="n">
        <f aca="false">M15/12</f>
        <v>0.25</v>
      </c>
      <c r="P15" s="16" t="n">
        <f aca="false">O15-N15</f>
        <v>0.166666666666667</v>
      </c>
      <c r="Q15" s="14" t="n">
        <v>0</v>
      </c>
      <c r="R15" s="14" t="n">
        <v>2</v>
      </c>
      <c r="S15" s="15" t="n">
        <f aca="false">Q15/11</f>
        <v>0</v>
      </c>
      <c r="T15" s="15" t="n">
        <f aca="false">R15/11</f>
        <v>0.181818181818182</v>
      </c>
      <c r="U15" s="16" t="n">
        <f aca="false">T15-S15</f>
        <v>0.181818181818182</v>
      </c>
      <c r="V15" s="14" t="n">
        <v>0</v>
      </c>
      <c r="W15" s="14" t="n">
        <v>0</v>
      </c>
      <c r="X15" s="15" t="n">
        <f aca="false">V15/9</f>
        <v>0</v>
      </c>
      <c r="Y15" s="15" t="n">
        <f aca="false">W15/9</f>
        <v>0</v>
      </c>
      <c r="Z15" s="16" t="n">
        <f aca="false">Y15-X15</f>
        <v>0</v>
      </c>
      <c r="AA15" s="14" t="n">
        <v>3</v>
      </c>
      <c r="AB15" s="14" t="n">
        <v>8</v>
      </c>
      <c r="AC15" s="15" t="n">
        <f aca="false">AA15/9</f>
        <v>0.333333333333333</v>
      </c>
      <c r="AD15" s="15" t="n">
        <f aca="false">AB15/9</f>
        <v>0.888888888888889</v>
      </c>
      <c r="AE15" s="16" t="n">
        <f aca="false">AD15-AC15</f>
        <v>0.555555555555556</v>
      </c>
    </row>
    <row r="16" customFormat="false" ht="12.8" hidden="false" customHeight="false" outlineLevel="0" collapsed="false">
      <c r="A16" s="0" t="s">
        <v>103</v>
      </c>
      <c r="B16" s="14" t="n">
        <v>5</v>
      </c>
      <c r="C16" s="14" t="n">
        <v>8</v>
      </c>
      <c r="D16" s="15" t="n">
        <f aca="false">B16/9</f>
        <v>0.555555555555556</v>
      </c>
      <c r="E16" s="15" t="n">
        <f aca="false">C16/9</f>
        <v>0.888888888888889</v>
      </c>
      <c r="F16" s="16" t="n">
        <f aca="false">E16-D16</f>
        <v>0.333333333333333</v>
      </c>
      <c r="G16" s="14" t="n">
        <v>2</v>
      </c>
      <c r="H16" s="14" t="n">
        <v>9</v>
      </c>
      <c r="I16" s="15" t="n">
        <f aca="false">G16/9</f>
        <v>0.222222222222222</v>
      </c>
      <c r="J16" s="15" t="n">
        <f aca="false">H16/9</f>
        <v>1</v>
      </c>
      <c r="K16" s="16" t="n">
        <f aca="false">J16-I16</f>
        <v>0.777777777777778</v>
      </c>
      <c r="L16" s="14" t="n">
        <v>4</v>
      </c>
      <c r="M16" s="14" t="n">
        <v>10</v>
      </c>
      <c r="N16" s="15" t="n">
        <f aca="false">L16/12</f>
        <v>0.333333333333333</v>
      </c>
      <c r="O16" s="15" t="n">
        <f aca="false">M16/12</f>
        <v>0.833333333333333</v>
      </c>
      <c r="P16" s="16" t="n">
        <f aca="false">O16-N16</f>
        <v>0.5</v>
      </c>
      <c r="Q16" s="14" t="n">
        <v>2</v>
      </c>
      <c r="R16" s="14" t="n">
        <v>10</v>
      </c>
      <c r="S16" s="15" t="n">
        <f aca="false">Q16/11</f>
        <v>0.181818181818182</v>
      </c>
      <c r="T16" s="15" t="n">
        <f aca="false">R16/11</f>
        <v>0.909090909090909</v>
      </c>
      <c r="U16" s="16" t="n">
        <f aca="false">T16-S16</f>
        <v>0.727272727272727</v>
      </c>
      <c r="V16" s="14" t="n">
        <v>2</v>
      </c>
      <c r="W16" s="14" t="n">
        <v>8</v>
      </c>
      <c r="X16" s="15" t="n">
        <f aca="false">V16/9</f>
        <v>0.222222222222222</v>
      </c>
      <c r="Y16" s="15" t="n">
        <f aca="false">W16/9</f>
        <v>0.888888888888889</v>
      </c>
      <c r="Z16" s="16" t="n">
        <f aca="false">Y16-X16</f>
        <v>0.666666666666667</v>
      </c>
      <c r="AA16" s="14" t="n">
        <v>3</v>
      </c>
      <c r="AB16" s="14" t="n">
        <v>7</v>
      </c>
      <c r="AC16" s="15" t="n">
        <f aca="false">AA16/9</f>
        <v>0.333333333333333</v>
      </c>
      <c r="AD16" s="15" t="n">
        <f aca="false">AB16/9</f>
        <v>0.777777777777778</v>
      </c>
      <c r="AE16" s="16" t="n">
        <f aca="false">AD16-AC16</f>
        <v>0.444444444444444</v>
      </c>
    </row>
    <row r="17" customFormat="false" ht="12.8" hidden="false" customHeight="false" outlineLevel="0" collapsed="false">
      <c r="A17" s="0" t="s">
        <v>104</v>
      </c>
      <c r="B17" s="14" t="n">
        <v>0</v>
      </c>
      <c r="C17" s="14" t="n">
        <v>8</v>
      </c>
      <c r="D17" s="15" t="n">
        <f aca="false">B17/9</f>
        <v>0</v>
      </c>
      <c r="E17" s="15" t="n">
        <f aca="false">C17/9</f>
        <v>0.888888888888889</v>
      </c>
      <c r="F17" s="16" t="n">
        <f aca="false">E17-D17</f>
        <v>0.888888888888889</v>
      </c>
      <c r="G17" s="14" t="n">
        <v>0</v>
      </c>
      <c r="H17" s="14" t="n">
        <v>6</v>
      </c>
      <c r="I17" s="15" t="n">
        <f aca="false">G17/9</f>
        <v>0</v>
      </c>
      <c r="J17" s="15" t="n">
        <f aca="false">H17/9</f>
        <v>0.666666666666667</v>
      </c>
      <c r="K17" s="16" t="n">
        <f aca="false">J17-I17</f>
        <v>0.666666666666667</v>
      </c>
      <c r="L17" s="14" t="n">
        <v>0</v>
      </c>
      <c r="M17" s="14" t="n">
        <v>6</v>
      </c>
      <c r="N17" s="15" t="n">
        <f aca="false">L17/12</f>
        <v>0</v>
      </c>
      <c r="O17" s="15" t="n">
        <f aca="false">M17/12</f>
        <v>0.5</v>
      </c>
      <c r="P17" s="16" t="n">
        <f aca="false">O17-N17</f>
        <v>0.5</v>
      </c>
      <c r="Q17" s="14" t="n">
        <v>0</v>
      </c>
      <c r="R17" s="14" t="n">
        <v>6</v>
      </c>
      <c r="S17" s="15" t="n">
        <f aca="false">Q17/11</f>
        <v>0</v>
      </c>
      <c r="T17" s="15" t="n">
        <f aca="false">R17/11</f>
        <v>0.545454545454545</v>
      </c>
      <c r="U17" s="16" t="n">
        <f aca="false">T17-S17</f>
        <v>0.545454545454545</v>
      </c>
      <c r="V17" s="14" t="n">
        <v>0</v>
      </c>
      <c r="W17" s="14" t="n">
        <v>5</v>
      </c>
      <c r="X17" s="15" t="n">
        <f aca="false">V17/9</f>
        <v>0</v>
      </c>
      <c r="Y17" s="15" t="n">
        <f aca="false">W17/9</f>
        <v>0.555555555555556</v>
      </c>
      <c r="Z17" s="16" t="n">
        <f aca="false">Y17-X17</f>
        <v>0.555555555555556</v>
      </c>
      <c r="AA17" s="14" t="n">
        <v>3</v>
      </c>
      <c r="AB17" s="14" t="n">
        <v>8</v>
      </c>
      <c r="AC17" s="15" t="n">
        <f aca="false">AA17/9</f>
        <v>0.333333333333333</v>
      </c>
      <c r="AD17" s="15" t="n">
        <f aca="false">AB17/9</f>
        <v>0.888888888888889</v>
      </c>
      <c r="AE17" s="16" t="n">
        <f aca="false">AD17-AC17</f>
        <v>0.555555555555556</v>
      </c>
    </row>
    <row r="18" customFormat="false" ht="12.8" hidden="false" customHeight="false" outlineLevel="0" collapsed="false">
      <c r="A18" s="0" t="s">
        <v>105</v>
      </c>
      <c r="B18" s="14" t="n">
        <v>2</v>
      </c>
      <c r="C18" s="14" t="n">
        <v>8</v>
      </c>
      <c r="D18" s="15" t="n">
        <f aca="false">B18/9</f>
        <v>0.222222222222222</v>
      </c>
      <c r="E18" s="15" t="n">
        <f aca="false">C18/9</f>
        <v>0.888888888888889</v>
      </c>
      <c r="F18" s="16" t="n">
        <f aca="false">E18-D18</f>
        <v>0.666666666666667</v>
      </c>
      <c r="G18" s="14" t="n">
        <v>1</v>
      </c>
      <c r="H18" s="14" t="n">
        <v>9</v>
      </c>
      <c r="I18" s="15" t="n">
        <f aca="false">G18/9</f>
        <v>0.111111111111111</v>
      </c>
      <c r="J18" s="15" t="n">
        <f aca="false">H18/9</f>
        <v>1</v>
      </c>
      <c r="K18" s="16" t="n">
        <f aca="false">J18-I18</f>
        <v>0.888888888888889</v>
      </c>
      <c r="L18" s="14" t="n">
        <v>4</v>
      </c>
      <c r="M18" s="14" t="n">
        <v>8</v>
      </c>
      <c r="N18" s="15" t="n">
        <f aca="false">L18/12</f>
        <v>0.333333333333333</v>
      </c>
      <c r="O18" s="15" t="n">
        <f aca="false">M18/12</f>
        <v>0.666666666666667</v>
      </c>
      <c r="P18" s="16" t="n">
        <f aca="false">O18-N18</f>
        <v>0.333333333333333</v>
      </c>
      <c r="Q18" s="14" t="n">
        <v>1</v>
      </c>
      <c r="R18" s="14" t="n">
        <v>9</v>
      </c>
      <c r="S18" s="15" t="n">
        <f aca="false">Q18/11</f>
        <v>0.0909090909090909</v>
      </c>
      <c r="T18" s="15" t="n">
        <f aca="false">R18/11</f>
        <v>0.818181818181818</v>
      </c>
      <c r="U18" s="16" t="n">
        <f aca="false">T18-S18</f>
        <v>0.727272727272727</v>
      </c>
      <c r="V18" s="14" t="n">
        <v>0</v>
      </c>
      <c r="W18" s="14" t="n">
        <v>6</v>
      </c>
      <c r="X18" s="15" t="n">
        <f aca="false">V18/9</f>
        <v>0</v>
      </c>
      <c r="Y18" s="15" t="n">
        <f aca="false">W18/9</f>
        <v>0.666666666666667</v>
      </c>
      <c r="Z18" s="16" t="n">
        <f aca="false">Y18-X18</f>
        <v>0.666666666666667</v>
      </c>
      <c r="AA18" s="14" t="n">
        <v>3</v>
      </c>
      <c r="AB18" s="14" t="n">
        <v>8</v>
      </c>
      <c r="AC18" s="15" t="n">
        <f aca="false">AA18/9</f>
        <v>0.333333333333333</v>
      </c>
      <c r="AD18" s="15" t="n">
        <f aca="false">AB18/9</f>
        <v>0.888888888888889</v>
      </c>
      <c r="AE18" s="16" t="n">
        <f aca="false">AD18-AC18</f>
        <v>0.555555555555556</v>
      </c>
    </row>
    <row r="19" customFormat="false" ht="12.8" hidden="false" customHeight="false" outlineLevel="0" collapsed="false">
      <c r="A19" s="0" t="s">
        <v>106</v>
      </c>
      <c r="B19" s="14" t="n">
        <v>5</v>
      </c>
      <c r="C19" s="14" t="n">
        <v>9</v>
      </c>
      <c r="D19" s="15" t="n">
        <f aca="false">B19/9</f>
        <v>0.555555555555556</v>
      </c>
      <c r="E19" s="15" t="n">
        <f aca="false">C19/9</f>
        <v>1</v>
      </c>
      <c r="F19" s="16" t="n">
        <f aca="false">E19-D19</f>
        <v>0.444444444444444</v>
      </c>
      <c r="G19" s="14" t="n">
        <v>2</v>
      </c>
      <c r="H19" s="14" t="n">
        <v>10</v>
      </c>
      <c r="I19" s="15" t="n">
        <f aca="false">G19/9</f>
        <v>0.222222222222222</v>
      </c>
      <c r="J19" s="15" t="n">
        <f aca="false">H19/9</f>
        <v>1.11111111111111</v>
      </c>
      <c r="K19" s="16" t="n">
        <f aca="false">J19-I19</f>
        <v>0.888888888888889</v>
      </c>
      <c r="L19" s="14" t="n">
        <v>4</v>
      </c>
      <c r="M19" s="14" t="n">
        <v>10</v>
      </c>
      <c r="N19" s="15" t="n">
        <f aca="false">L19/12</f>
        <v>0.333333333333333</v>
      </c>
      <c r="O19" s="15" t="n">
        <f aca="false">M19/12</f>
        <v>0.833333333333333</v>
      </c>
      <c r="P19" s="16" t="n">
        <f aca="false">O19-N19</f>
        <v>0.5</v>
      </c>
      <c r="Q19" s="14" t="n">
        <v>2</v>
      </c>
      <c r="R19" s="14" t="n">
        <v>10</v>
      </c>
      <c r="S19" s="15" t="n">
        <f aca="false">Q19/11</f>
        <v>0.181818181818182</v>
      </c>
      <c r="T19" s="15" t="n">
        <f aca="false">R19/11</f>
        <v>0.909090909090909</v>
      </c>
      <c r="U19" s="16" t="n">
        <f aca="false">T19-S19</f>
        <v>0.727272727272727</v>
      </c>
      <c r="V19" s="14" t="n">
        <v>0</v>
      </c>
      <c r="W19" s="14" t="n">
        <v>10</v>
      </c>
      <c r="X19" s="15" t="n">
        <f aca="false">V19/9</f>
        <v>0</v>
      </c>
      <c r="Y19" s="15" t="n">
        <f aca="false">W19/9</f>
        <v>1.11111111111111</v>
      </c>
      <c r="Z19" s="16" t="n">
        <f aca="false">Y19-X19</f>
        <v>1.11111111111111</v>
      </c>
      <c r="AA19" s="14" t="n">
        <v>3</v>
      </c>
      <c r="AB19" s="14" t="n">
        <v>8</v>
      </c>
      <c r="AC19" s="15" t="n">
        <f aca="false">AA19/9</f>
        <v>0.333333333333333</v>
      </c>
      <c r="AD19" s="15" t="n">
        <f aca="false">AB19/9</f>
        <v>0.888888888888889</v>
      </c>
      <c r="AE19" s="16" t="n">
        <f aca="false">AD19-AC19</f>
        <v>0.555555555555556</v>
      </c>
    </row>
  </sheetData>
  <autoFilter ref="A1:AE19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3" activeCellId="0" sqref="P3"/>
    </sheetView>
  </sheetViews>
  <sheetFormatPr defaultRowHeight="12.8" zeroHeight="false" outlineLevelRow="0" outlineLevelCol="0"/>
  <cols>
    <col collapsed="false" customWidth="false" hidden="false" outlineLevel="0" max="1" min="1" style="1" width="11.52"/>
    <col collapsed="false" customWidth="true" hidden="false" outlineLevel="0" max="11" min="2" style="2" width="7.64"/>
    <col collapsed="false" customWidth="true" hidden="false" outlineLevel="0" max="13" min="12" style="1" width="7.64"/>
    <col collapsed="false" customWidth="true" hidden="false" outlineLevel="0" max="15" min="14" style="2" width="7.64"/>
    <col collapsed="false" customWidth="true" hidden="false" outlineLevel="0" max="16" min="16" style="2" width="6.11"/>
    <col collapsed="false" customWidth="false" hidden="false" outlineLevel="0" max="1025" min="17" style="1" width="11.52"/>
  </cols>
  <sheetData>
    <row r="1" customFormat="false" ht="12.8" hidden="false" customHeight="false" outlineLevel="0" collapsed="false">
      <c r="A1" s="17" t="s">
        <v>4</v>
      </c>
      <c r="B1" s="18" t="s">
        <v>107</v>
      </c>
      <c r="C1" s="18" t="s">
        <v>108</v>
      </c>
      <c r="D1" s="18" t="s">
        <v>109</v>
      </c>
      <c r="E1" s="18" t="s">
        <v>110</v>
      </c>
      <c r="F1" s="18" t="s">
        <v>111</v>
      </c>
      <c r="G1" s="18" t="s">
        <v>112</v>
      </c>
      <c r="H1" s="18" t="s">
        <v>107</v>
      </c>
      <c r="I1" s="18" t="s">
        <v>108</v>
      </c>
      <c r="J1" s="18" t="s">
        <v>109</v>
      </c>
      <c r="K1" s="18" t="s">
        <v>110</v>
      </c>
      <c r="L1" s="18" t="s">
        <v>111</v>
      </c>
      <c r="M1" s="18" t="s">
        <v>112</v>
      </c>
      <c r="N1" s="18" t="s">
        <v>113</v>
      </c>
      <c r="O1" s="18" t="s">
        <v>114</v>
      </c>
      <c r="P1" s="18" t="s">
        <v>115</v>
      </c>
    </row>
    <row r="2" customFormat="false" ht="12.8" hidden="false" customHeight="false" outlineLevel="0" collapsed="false">
      <c r="A2" s="19" t="s">
        <v>53</v>
      </c>
      <c r="B2" s="2" t="n">
        <v>2</v>
      </c>
      <c r="C2" s="2" t="n">
        <v>4</v>
      </c>
      <c r="D2" s="2" t="n">
        <v>3</v>
      </c>
      <c r="E2" s="2" t="n">
        <v>2</v>
      </c>
      <c r="F2" s="2" t="n">
        <v>0.5</v>
      </c>
      <c r="G2" s="2" t="n">
        <v>2</v>
      </c>
      <c r="H2" s="20" t="n">
        <f aca="false">B2/4</f>
        <v>0.5</v>
      </c>
      <c r="I2" s="20" t="n">
        <f aca="false">C2/4</f>
        <v>1</v>
      </c>
      <c r="J2" s="20" t="n">
        <f aca="false">D2/4</f>
        <v>0.75</v>
      </c>
      <c r="K2" s="20" t="n">
        <f aca="false">E2/4</f>
        <v>0.5</v>
      </c>
      <c r="L2" s="20" t="n">
        <f aca="false">($F2+1)/3</f>
        <v>0.5</v>
      </c>
      <c r="M2" s="20" t="n">
        <f aca="false">G2/4</f>
        <v>0.5</v>
      </c>
      <c r="N2" s="21" t="n">
        <v>0.75</v>
      </c>
      <c r="O2" s="21" t="n">
        <v>0.5</v>
      </c>
      <c r="P2" s="2" t="n">
        <v>0.44</v>
      </c>
    </row>
    <row r="3" customFormat="false" ht="12.8" hidden="false" customHeight="false" outlineLevel="0" collapsed="false">
      <c r="A3" s="19" t="s">
        <v>56</v>
      </c>
      <c r="B3" s="2" t="n">
        <v>4</v>
      </c>
      <c r="C3" s="2" t="n">
        <v>2</v>
      </c>
      <c r="D3" s="2" t="n">
        <v>2</v>
      </c>
      <c r="E3" s="2" t="n">
        <v>4</v>
      </c>
      <c r="F3" s="2" t="n">
        <v>2</v>
      </c>
      <c r="G3" s="2" t="n">
        <v>6</v>
      </c>
      <c r="H3" s="20" t="n">
        <f aca="false">B3/4</f>
        <v>1</v>
      </c>
      <c r="I3" s="20" t="n">
        <f aca="false">C3/4</f>
        <v>0.5</v>
      </c>
      <c r="J3" s="20" t="n">
        <f aca="false">D3/4</f>
        <v>0.5</v>
      </c>
      <c r="K3" s="20" t="n">
        <f aca="false">E3/4</f>
        <v>1</v>
      </c>
      <c r="L3" s="20" t="n">
        <f aca="false">($F3+1)/3</f>
        <v>1</v>
      </c>
      <c r="M3" s="20" t="n">
        <f aca="false">G3/4</f>
        <v>1.5</v>
      </c>
      <c r="N3" s="21" t="n">
        <v>0.5</v>
      </c>
      <c r="O3" s="21" t="n">
        <v>0.5</v>
      </c>
      <c r="P3" s="2" t="n">
        <v>0.4</v>
      </c>
    </row>
    <row r="4" customFormat="false" ht="12.8" hidden="false" customHeight="false" outlineLevel="0" collapsed="false">
      <c r="A4" s="19" t="s">
        <v>58</v>
      </c>
      <c r="B4" s="2" t="n">
        <v>2</v>
      </c>
      <c r="C4" s="2" t="n">
        <v>3</v>
      </c>
      <c r="D4" s="2" t="n">
        <v>4</v>
      </c>
      <c r="E4" s="2" t="n">
        <v>2</v>
      </c>
      <c r="F4" s="2" t="n">
        <v>0.5</v>
      </c>
      <c r="G4" s="2" t="n">
        <v>3</v>
      </c>
      <c r="H4" s="20" t="n">
        <f aca="false">B4/4</f>
        <v>0.5</v>
      </c>
      <c r="I4" s="20" t="n">
        <f aca="false">C4/4</f>
        <v>0.75</v>
      </c>
      <c r="J4" s="20" t="n">
        <f aca="false">D4/4</f>
        <v>1</v>
      </c>
      <c r="K4" s="20" t="n">
        <f aca="false">E4/4</f>
        <v>0.5</v>
      </c>
      <c r="L4" s="20" t="n">
        <f aca="false">($F4+1)/3</f>
        <v>0.5</v>
      </c>
      <c r="M4" s="20" t="n">
        <f aca="false">G4/4</f>
        <v>0.75</v>
      </c>
      <c r="N4" s="21" t="n">
        <v>0.5</v>
      </c>
      <c r="O4" s="21" t="n">
        <v>1</v>
      </c>
      <c r="P4" s="2" t="n">
        <v>1</v>
      </c>
    </row>
    <row r="5" customFormat="false" ht="12.8" hidden="false" customHeight="false" outlineLevel="0" collapsed="false">
      <c r="A5" s="19" t="s">
        <v>59</v>
      </c>
      <c r="B5" s="2" t="n">
        <v>4</v>
      </c>
      <c r="C5" s="2" t="n">
        <v>3</v>
      </c>
      <c r="D5" s="2" t="n">
        <v>2</v>
      </c>
      <c r="E5" s="2" t="n">
        <v>3</v>
      </c>
      <c r="F5" s="2" t="n">
        <v>1</v>
      </c>
      <c r="G5" s="2" t="n">
        <v>4</v>
      </c>
      <c r="H5" s="20" t="n">
        <f aca="false">B5/4</f>
        <v>1</v>
      </c>
      <c r="I5" s="20" t="n">
        <f aca="false">C5/4</f>
        <v>0.75</v>
      </c>
      <c r="J5" s="20" t="n">
        <f aca="false">D5/4</f>
        <v>0.5</v>
      </c>
      <c r="K5" s="20" t="n">
        <f aca="false">E5/4</f>
        <v>0.75</v>
      </c>
      <c r="L5" s="20" t="n">
        <f aca="false">($F5+1)/3</f>
        <v>0.666666666666667</v>
      </c>
      <c r="M5" s="20" t="n">
        <f aca="false">G5/4</f>
        <v>1</v>
      </c>
      <c r="N5" s="21" t="n">
        <v>1</v>
      </c>
      <c r="O5" s="21" t="n">
        <v>1.5</v>
      </c>
      <c r="P5" s="2" t="n">
        <v>0.9</v>
      </c>
    </row>
    <row r="6" customFormat="false" ht="12.8" hidden="false" customHeight="false" outlineLevel="0" collapsed="false">
      <c r="A6" s="19" t="s">
        <v>60</v>
      </c>
      <c r="B6" s="2" t="n">
        <v>2</v>
      </c>
      <c r="C6" s="2" t="n">
        <v>4</v>
      </c>
      <c r="D6" s="2" t="n">
        <v>3</v>
      </c>
      <c r="E6" s="2" t="n">
        <v>3</v>
      </c>
      <c r="F6" s="2" t="n">
        <v>0.5</v>
      </c>
      <c r="G6" s="2" t="n">
        <v>3</v>
      </c>
      <c r="H6" s="20" t="n">
        <f aca="false">B6/4</f>
        <v>0.5</v>
      </c>
      <c r="I6" s="20" t="n">
        <f aca="false">C6/4</f>
        <v>1</v>
      </c>
      <c r="J6" s="20" t="n">
        <f aca="false">D6/4</f>
        <v>0.75</v>
      </c>
      <c r="K6" s="20" t="n">
        <f aca="false">E6/4</f>
        <v>0.75</v>
      </c>
      <c r="L6" s="20" t="n">
        <f aca="false">($F6+1)/3</f>
        <v>0.5</v>
      </c>
      <c r="M6" s="20" t="n">
        <f aca="false">G6/4</f>
        <v>0.75</v>
      </c>
      <c r="N6" s="21" t="n">
        <v>0.75</v>
      </c>
      <c r="O6" s="21" t="n">
        <v>1.5</v>
      </c>
      <c r="P6" s="2" t="n">
        <v>0.5</v>
      </c>
    </row>
    <row r="7" customFormat="false" ht="12.8" hidden="false" customHeight="false" outlineLevel="0" collapsed="false">
      <c r="A7" s="19" t="s">
        <v>61</v>
      </c>
      <c r="B7" s="2" t="n">
        <v>3</v>
      </c>
      <c r="C7" s="2" t="n">
        <v>3</v>
      </c>
      <c r="D7" s="2" t="n">
        <v>4</v>
      </c>
      <c r="E7" s="2" t="n">
        <v>3</v>
      </c>
      <c r="F7" s="2" t="n">
        <v>1</v>
      </c>
      <c r="G7" s="2" t="n">
        <v>4</v>
      </c>
      <c r="H7" s="20" t="n">
        <f aca="false">B7/4</f>
        <v>0.75</v>
      </c>
      <c r="I7" s="20" t="n">
        <f aca="false">C7/4</f>
        <v>0.75</v>
      </c>
      <c r="J7" s="20" t="n">
        <f aca="false">D7/4</f>
        <v>1</v>
      </c>
      <c r="K7" s="20" t="n">
        <f aca="false">E7/4</f>
        <v>0.75</v>
      </c>
      <c r="L7" s="20" t="n">
        <f aca="false">($F7+1)/3</f>
        <v>0.666666666666667</v>
      </c>
      <c r="M7" s="20" t="n">
        <f aca="false">G7/4</f>
        <v>1</v>
      </c>
      <c r="N7" s="21" t="n">
        <v>0.75</v>
      </c>
      <c r="O7" s="21" t="n">
        <v>1</v>
      </c>
      <c r="P7" s="2" t="n">
        <v>0.6</v>
      </c>
    </row>
    <row r="8" customFormat="false" ht="12.8" hidden="false" customHeight="false" outlineLevel="0" collapsed="false">
      <c r="A8" s="19" t="s">
        <v>62</v>
      </c>
      <c r="B8" s="2" t="n">
        <v>2</v>
      </c>
      <c r="C8" s="2" t="n">
        <v>3</v>
      </c>
      <c r="D8" s="2" t="n">
        <v>4</v>
      </c>
      <c r="E8" s="2" t="n">
        <v>2</v>
      </c>
      <c r="F8" s="2" t="n">
        <v>0.5</v>
      </c>
      <c r="G8" s="2" t="n">
        <v>3</v>
      </c>
      <c r="H8" s="20" t="n">
        <f aca="false">B8/4</f>
        <v>0.5</v>
      </c>
      <c r="I8" s="20" t="n">
        <f aca="false">C8/4</f>
        <v>0.75</v>
      </c>
      <c r="J8" s="20" t="n">
        <f aca="false">D8/4</f>
        <v>1</v>
      </c>
      <c r="K8" s="20" t="n">
        <f aca="false">E8/4</f>
        <v>0.5</v>
      </c>
      <c r="L8" s="20" t="n">
        <f aca="false">($F8+1)/3</f>
        <v>0.5</v>
      </c>
      <c r="M8" s="20" t="n">
        <f aca="false">G8/4</f>
        <v>0.75</v>
      </c>
      <c r="N8" s="21" t="n">
        <v>1</v>
      </c>
      <c r="O8" s="21" t="n">
        <v>1.5</v>
      </c>
      <c r="P8" s="2" t="n">
        <v>0.66</v>
      </c>
    </row>
    <row r="9" customFormat="false" ht="12.8" hidden="false" customHeight="false" outlineLevel="0" collapsed="false">
      <c r="A9" s="1" t="s">
        <v>66</v>
      </c>
      <c r="B9" s="2" t="n">
        <v>3</v>
      </c>
      <c r="C9" s="2" t="n">
        <v>3</v>
      </c>
      <c r="D9" s="2" t="n">
        <v>3</v>
      </c>
      <c r="E9" s="2" t="n">
        <v>3</v>
      </c>
      <c r="F9" s="2" t="n">
        <v>1</v>
      </c>
      <c r="G9" s="2" t="n">
        <v>3</v>
      </c>
      <c r="H9" s="20" t="n">
        <f aca="false">B9/4</f>
        <v>0.75</v>
      </c>
      <c r="I9" s="20" t="n">
        <f aca="false">C9/4</f>
        <v>0.75</v>
      </c>
      <c r="J9" s="20" t="n">
        <f aca="false">D9/4</f>
        <v>0.75</v>
      </c>
      <c r="K9" s="20" t="n">
        <f aca="false">E9/4</f>
        <v>0.75</v>
      </c>
      <c r="L9" s="20" t="n">
        <f aca="false">($F9+1)/3</f>
        <v>0.666666666666667</v>
      </c>
      <c r="M9" s="20" t="n">
        <f aca="false">G9/4</f>
        <v>0.75</v>
      </c>
      <c r="N9" s="21" t="n">
        <v>1</v>
      </c>
      <c r="O9" s="21" t="n">
        <v>1</v>
      </c>
      <c r="P9" s="2" t="n">
        <v>0.5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T13" activeCellId="0" sqref="T13"/>
    </sheetView>
  </sheetViews>
  <sheetFormatPr defaultRowHeight="12.8" zeroHeight="false" outlineLevelRow="0" outlineLevelCol="0"/>
  <cols>
    <col collapsed="false" customWidth="false" hidden="false" outlineLevel="0" max="1" min="1" style="1" width="11.52"/>
    <col collapsed="false" customWidth="true" hidden="false" outlineLevel="0" max="5" min="2" style="2" width="7.64"/>
    <col collapsed="false" customWidth="true" hidden="false" outlineLevel="0" max="14" min="6" style="1" width="7.64"/>
    <col collapsed="false" customWidth="true" hidden="false" outlineLevel="0" max="18" min="15" style="2" width="7.64"/>
    <col collapsed="false" customWidth="true" hidden="false" outlineLevel="0" max="20" min="19" style="2" width="6.39"/>
    <col collapsed="false" customWidth="false" hidden="false" outlineLevel="0" max="1017" min="21" style="1" width="11.52"/>
    <col collapsed="false" customWidth="false" hidden="false" outlineLevel="0" max="1025" min="1018" style="0" width="11.52"/>
  </cols>
  <sheetData>
    <row r="1" customFormat="false" ht="12.8" hidden="false" customHeight="false" outlineLevel="0" collapsed="false">
      <c r="A1" s="17" t="s">
        <v>3</v>
      </c>
      <c r="B1" s="18" t="s">
        <v>116</v>
      </c>
      <c r="C1" s="22" t="s">
        <v>117</v>
      </c>
      <c r="D1" s="22" t="s">
        <v>118</v>
      </c>
      <c r="E1" s="22" t="s">
        <v>119</v>
      </c>
      <c r="F1" s="18" t="s">
        <v>120</v>
      </c>
      <c r="G1" s="18" t="s">
        <v>121</v>
      </c>
      <c r="H1" s="18" t="s">
        <v>122</v>
      </c>
      <c r="I1" s="18" t="s">
        <v>123</v>
      </c>
      <c r="J1" s="18" t="s">
        <v>124</v>
      </c>
      <c r="K1" s="18" t="s">
        <v>125</v>
      </c>
      <c r="L1" s="18" t="s">
        <v>126</v>
      </c>
      <c r="M1" s="18" t="s">
        <v>127</v>
      </c>
      <c r="N1" s="18" t="s">
        <v>128</v>
      </c>
      <c r="O1" s="22" t="s">
        <v>129</v>
      </c>
      <c r="P1" s="18" t="s">
        <v>8</v>
      </c>
      <c r="Q1" s="18" t="s">
        <v>9</v>
      </c>
      <c r="R1" s="18" t="s">
        <v>130</v>
      </c>
      <c r="S1" s="18" t="s">
        <v>47</v>
      </c>
      <c r="T1" s="18" t="s">
        <v>48</v>
      </c>
    </row>
    <row r="2" customFormat="false" ht="12.8" hidden="false" customHeight="false" outlineLevel="0" collapsed="false">
      <c r="A2" s="23" t="s">
        <v>65</v>
      </c>
      <c r="B2" s="24" t="n">
        <f aca="false">1/16</f>
        <v>0.0625</v>
      </c>
      <c r="C2" s="25" t="n">
        <f aca="false">POWER($B2,C$16)</f>
        <v>0.118257205840699</v>
      </c>
      <c r="D2" s="25" t="n">
        <f aca="false">POWER($B2,D$16)</f>
        <v>0.295248165357383</v>
      </c>
      <c r="E2" s="25" t="n">
        <f aca="false">POWER($B2,E$16)</f>
        <v>0.543367431263029</v>
      </c>
      <c r="F2" s="2" t="n">
        <v>-3</v>
      </c>
      <c r="G2" s="2" t="n">
        <v>1</v>
      </c>
      <c r="H2" s="2" t="s">
        <v>131</v>
      </c>
      <c r="I2" s="2" t="n">
        <v>1</v>
      </c>
      <c r="J2" s="2" t="s">
        <v>131</v>
      </c>
      <c r="K2" s="2" t="n">
        <v>1</v>
      </c>
      <c r="L2" s="2" t="n">
        <v>1</v>
      </c>
      <c r="M2" s="2" t="s">
        <v>131</v>
      </c>
      <c r="N2" s="2" t="n">
        <v>7</v>
      </c>
      <c r="O2" s="26" t="n">
        <f aca="false">$O$16*-5</f>
        <v>-6</v>
      </c>
      <c r="P2" s="24" t="n">
        <f aca="false">INT(LOG(P$16*$D2,2))</f>
        <v>1</v>
      </c>
      <c r="Q2" s="24" t="n">
        <f aca="false">INT(LOG(Q$16*(1/$E2),2))</f>
        <v>4</v>
      </c>
      <c r="R2" s="27" t="n">
        <f aca="false">($E2*5)+5+$O2+$P2</f>
        <v>2.71683715631514</v>
      </c>
      <c r="S2" s="2" t="n">
        <v>6</v>
      </c>
      <c r="T2" s="2" t="n">
        <v>0.33</v>
      </c>
    </row>
    <row r="3" customFormat="false" ht="12.8" hidden="false" customHeight="false" outlineLevel="0" collapsed="false">
      <c r="A3" s="1" t="s">
        <v>68</v>
      </c>
      <c r="B3" s="24" t="n">
        <f aca="false">1/8</f>
        <v>0.125</v>
      </c>
      <c r="C3" s="25" t="n">
        <f aca="false">POWER($B3,C$16)</f>
        <v>0.201660439805532</v>
      </c>
      <c r="D3" s="25" t="n">
        <f aca="false">POWER($B3,D$16)</f>
        <v>0.400534938794811</v>
      </c>
      <c r="E3" s="25" t="n">
        <f aca="false">POWER($B3,E$16)</f>
        <v>0.63287829698514</v>
      </c>
      <c r="F3" s="2" t="n">
        <v>-2</v>
      </c>
      <c r="G3" s="2" t="n">
        <v>2</v>
      </c>
      <c r="H3" s="2" t="n">
        <v>1</v>
      </c>
      <c r="I3" s="2" t="n">
        <v>2</v>
      </c>
      <c r="J3" s="2" t="n">
        <v>1</v>
      </c>
      <c r="K3" s="2" t="n">
        <v>2</v>
      </c>
      <c r="L3" s="2" t="n">
        <v>1</v>
      </c>
      <c r="M3" s="2" t="n">
        <v>1</v>
      </c>
      <c r="N3" s="2" t="n">
        <v>6</v>
      </c>
      <c r="O3" s="26" t="n">
        <f aca="false">$O$16*-3</f>
        <v>-3.6</v>
      </c>
      <c r="P3" s="24" t="n">
        <f aca="false">INT(LOG(P$16*$D3,2))</f>
        <v>2</v>
      </c>
      <c r="Q3" s="24" t="n">
        <f aca="false">INT(LOG(Q$16*(1/$E3),2))</f>
        <v>3</v>
      </c>
      <c r="R3" s="27" t="n">
        <f aca="false">($E3*5)+5+$O3+$P3</f>
        <v>6.5643914849257</v>
      </c>
      <c r="S3" s="2" t="n">
        <v>7</v>
      </c>
      <c r="T3" s="2" t="n">
        <v>0.5</v>
      </c>
    </row>
    <row r="4" customFormat="false" ht="12.8" hidden="false" customHeight="false" outlineLevel="0" collapsed="false">
      <c r="A4" s="1" t="s">
        <v>69</v>
      </c>
      <c r="B4" s="24" t="n">
        <f aca="false">1/4</f>
        <v>0.25</v>
      </c>
      <c r="C4" s="25" t="n">
        <f aca="false">POWER($B4,C$16)</f>
        <v>0.343885454534936</v>
      </c>
      <c r="D4" s="25" t="n">
        <f aca="false">POWER($B4,D$16)</f>
        <v>0.543367431263029</v>
      </c>
      <c r="E4" s="25" t="n">
        <f aca="false">POWER($B4,E$16)</f>
        <v>0.737134608645551</v>
      </c>
      <c r="F4" s="2" t="n">
        <v>-1</v>
      </c>
      <c r="G4" s="2" t="n">
        <v>3</v>
      </c>
      <c r="H4" s="2" t="n">
        <v>2</v>
      </c>
      <c r="I4" s="2" t="n">
        <v>3</v>
      </c>
      <c r="J4" s="2" t="n">
        <v>2</v>
      </c>
      <c r="K4" s="2" t="n">
        <v>3</v>
      </c>
      <c r="L4" s="2" t="n">
        <v>2</v>
      </c>
      <c r="M4" s="2" t="n">
        <v>2</v>
      </c>
      <c r="N4" s="2" t="n">
        <v>6</v>
      </c>
      <c r="O4" s="26" t="n">
        <f aca="false">$O$16*-2</f>
        <v>-2.4</v>
      </c>
      <c r="P4" s="24" t="n">
        <f aca="false">INT(LOG(P$16*$D4,2))</f>
        <v>2</v>
      </c>
      <c r="Q4" s="24" t="n">
        <f aca="false">INT(LOG(Q$16*(1/$E4),2))</f>
        <v>3</v>
      </c>
      <c r="R4" s="27" t="n">
        <f aca="false">($E4*5)+5+$O4+$P4</f>
        <v>8.28567304322775</v>
      </c>
      <c r="S4" s="2" t="n">
        <v>8</v>
      </c>
      <c r="T4" s="2" t="n">
        <v>0.66</v>
      </c>
    </row>
    <row r="5" customFormat="false" ht="12.8" hidden="false" customHeight="false" outlineLevel="0" collapsed="false">
      <c r="A5" s="1" t="s">
        <v>70</v>
      </c>
      <c r="B5" s="24" t="n">
        <f aca="false">1/2</f>
        <v>0.5</v>
      </c>
      <c r="C5" s="25" t="n">
        <f aca="false">POWER($B5,C$16)</f>
        <v>0.586417474615939</v>
      </c>
      <c r="D5" s="25" t="n">
        <f aca="false">POWER($B5,D$16)</f>
        <v>0.737134608645551</v>
      </c>
      <c r="E5" s="25" t="n">
        <f aca="false">POWER($B5,E$16)</f>
        <v>0.858565436437754</v>
      </c>
      <c r="F5" s="2" t="n">
        <v>0</v>
      </c>
      <c r="G5" s="2" t="n">
        <v>4</v>
      </c>
      <c r="H5" s="2" t="n">
        <v>3</v>
      </c>
      <c r="I5" s="2" t="n">
        <v>4</v>
      </c>
      <c r="J5" s="2" t="n">
        <v>3</v>
      </c>
      <c r="K5" s="2" t="n">
        <v>4</v>
      </c>
      <c r="L5" s="2" t="n">
        <v>3</v>
      </c>
      <c r="M5" s="2" t="n">
        <v>3</v>
      </c>
      <c r="N5" s="2" t="n">
        <v>5</v>
      </c>
      <c r="O5" s="26" t="n">
        <f aca="false">$O$16*-1</f>
        <v>-1.2</v>
      </c>
      <c r="P5" s="24" t="n">
        <f aca="false">INT(LOG(P$16*$D5,2))</f>
        <v>2</v>
      </c>
      <c r="Q5" s="24" t="n">
        <f aca="false">INT(LOG(Q$16*(1/$E5),2))</f>
        <v>3</v>
      </c>
      <c r="R5" s="27" t="n">
        <f aca="false">($E5*5)+5+$O5+$P5</f>
        <v>10.0928271821888</v>
      </c>
      <c r="S5" s="2" t="n">
        <v>9</v>
      </c>
      <c r="T5" s="2" t="n">
        <v>0.75</v>
      </c>
    </row>
    <row r="6" customFormat="false" ht="12.8" hidden="false" customHeight="false" outlineLevel="0" collapsed="false">
      <c r="A6" s="1" t="s">
        <v>52</v>
      </c>
      <c r="B6" s="24" t="n">
        <v>1</v>
      </c>
      <c r="C6" s="25" t="n">
        <f aca="false">POWER($B6,C$16)</f>
        <v>1</v>
      </c>
      <c r="D6" s="25" t="n">
        <f aca="false">POWER($B6,D$16)</f>
        <v>1</v>
      </c>
      <c r="E6" s="25" t="n">
        <f aca="false">POWER($B6,E$16)</f>
        <v>1</v>
      </c>
      <c r="F6" s="2" t="n">
        <v>1</v>
      </c>
      <c r="G6" s="2" t="n">
        <v>6</v>
      </c>
      <c r="H6" s="2" t="n">
        <v>4</v>
      </c>
      <c r="I6" s="2" t="n">
        <v>6</v>
      </c>
      <c r="J6" s="2" t="n">
        <v>4</v>
      </c>
      <c r="K6" s="2" t="n">
        <v>6</v>
      </c>
      <c r="L6" s="2" t="n">
        <v>4</v>
      </c>
      <c r="M6" s="2" t="n">
        <v>4</v>
      </c>
      <c r="N6" s="2" t="n">
        <v>5</v>
      </c>
      <c r="O6" s="26" t="n">
        <f aca="false">$O$16*0</f>
        <v>0</v>
      </c>
      <c r="P6" s="24" t="n">
        <f aca="false">INT(LOG(P$16*$D6,2))</f>
        <v>3</v>
      </c>
      <c r="Q6" s="24" t="n">
        <f aca="false">INT(LOG(Q$16*(1/$E6),2))</f>
        <v>3</v>
      </c>
      <c r="R6" s="27" t="n">
        <f aca="false">($E6*5)+5+$O6+$P6</f>
        <v>13</v>
      </c>
      <c r="S6" s="2" t="n">
        <v>10</v>
      </c>
      <c r="T6" s="2" t="n">
        <v>1</v>
      </c>
    </row>
    <row r="7" customFormat="false" ht="12.8" hidden="false" customHeight="false" outlineLevel="0" collapsed="false">
      <c r="A7" s="1" t="s">
        <v>71</v>
      </c>
      <c r="B7" s="24" t="n">
        <v>2</v>
      </c>
      <c r="C7" s="25" t="n">
        <f aca="false">POWER($B7,C$16)</f>
        <v>1.70526978353591</v>
      </c>
      <c r="D7" s="25" t="n">
        <f aca="false">POWER($B7,D$16)</f>
        <v>1.35660432744767</v>
      </c>
      <c r="E7" s="25" t="n">
        <f aca="false">POWER($B7,E$16)</f>
        <v>1.16473358646846</v>
      </c>
      <c r="F7" s="2" t="n">
        <v>2</v>
      </c>
      <c r="G7" s="2" t="n">
        <v>8</v>
      </c>
      <c r="H7" s="2" t="n">
        <v>6</v>
      </c>
      <c r="I7" s="2" t="n">
        <v>8</v>
      </c>
      <c r="J7" s="2" t="n">
        <v>6</v>
      </c>
      <c r="K7" s="2" t="n">
        <v>8</v>
      </c>
      <c r="L7" s="2" t="n">
        <v>6</v>
      </c>
      <c r="M7" s="2" t="n">
        <v>6</v>
      </c>
      <c r="N7" s="2" t="n">
        <v>4</v>
      </c>
      <c r="O7" s="26" t="n">
        <f aca="false">$O$16*2</f>
        <v>2.4</v>
      </c>
      <c r="P7" s="24" t="n">
        <f aca="false">INT(LOG(P$16*$D7,2))</f>
        <v>3</v>
      </c>
      <c r="Q7" s="24" t="n">
        <f aca="false">INT(LOG(Q$16*(1/$E7),2))</f>
        <v>3</v>
      </c>
      <c r="R7" s="27" t="n">
        <f aca="false">($E7*5)+5+$O7+$P7</f>
        <v>16.2236679323423</v>
      </c>
      <c r="S7" s="2" t="n">
        <v>12</v>
      </c>
      <c r="T7" s="2" t="n">
        <v>2</v>
      </c>
    </row>
    <row r="8" customFormat="false" ht="12.8" hidden="false" customHeight="false" outlineLevel="0" collapsed="false">
      <c r="A8" s="1" t="s">
        <v>72</v>
      </c>
      <c r="B8" s="24" t="n">
        <v>4</v>
      </c>
      <c r="C8" s="25" t="n">
        <f aca="false">POWER($B8,C$16)</f>
        <v>2.90794503464062</v>
      </c>
      <c r="D8" s="25" t="n">
        <f aca="false">POWER($B8,D$16)</f>
        <v>1.84037530124975</v>
      </c>
      <c r="E8" s="25" t="n">
        <f aca="false">POWER($B8,E$16)</f>
        <v>1.35660432744767</v>
      </c>
      <c r="F8" s="2" t="n">
        <v>3</v>
      </c>
      <c r="G8" s="2" t="n">
        <v>12</v>
      </c>
      <c r="H8" s="2" t="n">
        <v>8</v>
      </c>
      <c r="I8" s="2" t="n">
        <v>12</v>
      </c>
      <c r="J8" s="2" t="n">
        <v>8</v>
      </c>
      <c r="K8" s="2" t="n">
        <v>12</v>
      </c>
      <c r="L8" s="2" t="n">
        <v>8</v>
      </c>
      <c r="M8" s="2" t="n">
        <v>8</v>
      </c>
      <c r="N8" s="2" t="n">
        <v>4</v>
      </c>
      <c r="O8" s="26" t="n">
        <f aca="false">$O$16*5</f>
        <v>6</v>
      </c>
      <c r="P8" s="24" t="n">
        <f aca="false">INT(LOG(P$16*$D8,2))</f>
        <v>4</v>
      </c>
      <c r="Q8" s="24" t="n">
        <f aca="false">INT(LOG(Q$16*(1/$E8),2))</f>
        <v>2</v>
      </c>
      <c r="R8" s="27" t="n">
        <f aca="false">($E8*5)+5+$O8+$P8</f>
        <v>21.7830216372384</v>
      </c>
      <c r="S8" s="2" t="n">
        <v>14</v>
      </c>
      <c r="T8" s="2" t="n">
        <v>4</v>
      </c>
    </row>
    <row r="9" customFormat="false" ht="12.8" hidden="false" customHeight="false" outlineLevel="0" collapsed="false">
      <c r="A9" s="1" t="s">
        <v>73</v>
      </c>
      <c r="B9" s="24" t="n">
        <v>8</v>
      </c>
      <c r="C9" s="25" t="n">
        <f aca="false">POWER($B9,C$16)</f>
        <v>4.95883079975595</v>
      </c>
      <c r="D9" s="25" t="n">
        <f aca="false">POWER($B9,D$16)</f>
        <v>2.49666109780322</v>
      </c>
      <c r="E9" s="25" t="n">
        <f aca="false">POWER($B9,E$16)</f>
        <v>1.58008262372675</v>
      </c>
      <c r="F9" s="2" t="n">
        <v>4</v>
      </c>
      <c r="G9" s="2" t="n">
        <v>16</v>
      </c>
      <c r="H9" s="2" t="n">
        <v>12</v>
      </c>
      <c r="I9" s="2" t="n">
        <v>16</v>
      </c>
      <c r="J9" s="2" t="n">
        <v>12</v>
      </c>
      <c r="K9" s="2" t="n">
        <v>16</v>
      </c>
      <c r="L9" s="2" t="n">
        <v>12</v>
      </c>
      <c r="M9" s="2" t="n">
        <v>12</v>
      </c>
      <c r="N9" s="2" t="n">
        <v>3</v>
      </c>
      <c r="O9" s="26" t="n">
        <f aca="false">$O$16*7</f>
        <v>8.4</v>
      </c>
      <c r="P9" s="24" t="n">
        <f aca="false">INT(LOG(P$16*$D9,2))</f>
        <v>4</v>
      </c>
      <c r="Q9" s="24" t="n">
        <f aca="false">INT(LOG(Q$16*(1/$E9),2))</f>
        <v>2</v>
      </c>
      <c r="R9" s="27" t="n">
        <f aca="false">($E9*5)+5+$O9+$P9</f>
        <v>25.3004131186338</v>
      </c>
      <c r="S9" s="2" t="n">
        <v>16</v>
      </c>
      <c r="T9" s="2" t="n">
        <v>6</v>
      </c>
    </row>
    <row r="10" customFormat="false" ht="12.8" hidden="false" customHeight="false" outlineLevel="0" collapsed="false">
      <c r="A10" s="1" t="s">
        <v>74</v>
      </c>
      <c r="B10" s="24" t="n">
        <v>16</v>
      </c>
      <c r="C10" s="25" t="n">
        <f aca="false">POWER($B10,C$16)</f>
        <v>8.45614432449104</v>
      </c>
      <c r="D10" s="25" t="n">
        <f aca="false">POWER($B10,D$16)</f>
        <v>3.38698124945011</v>
      </c>
      <c r="E10" s="25" t="n">
        <f aca="false">POWER($B10,E$16)</f>
        <v>1.84037530124975</v>
      </c>
      <c r="F10" s="2" t="n">
        <v>5</v>
      </c>
      <c r="G10" s="2" t="n">
        <v>24</v>
      </c>
      <c r="H10" s="2" t="n">
        <v>16</v>
      </c>
      <c r="I10" s="2" t="n">
        <v>24</v>
      </c>
      <c r="J10" s="2" t="n">
        <v>16</v>
      </c>
      <c r="K10" s="2" t="n">
        <v>24</v>
      </c>
      <c r="L10" s="2" t="n">
        <v>18</v>
      </c>
      <c r="M10" s="2" t="n">
        <v>24</v>
      </c>
      <c r="N10" s="2" t="n">
        <v>3</v>
      </c>
      <c r="O10" s="26" t="n">
        <f aca="false">$O$16*10</f>
        <v>12</v>
      </c>
      <c r="P10" s="24" t="n">
        <f aca="false">INT(LOG(P$16*$D10,2))</f>
        <v>5</v>
      </c>
      <c r="Q10" s="24" t="n">
        <f aca="false">INT(LOG(Q$16*(1/$E10),2))</f>
        <v>2</v>
      </c>
      <c r="R10" s="27" t="n">
        <f aca="false">($E10*5)+5+$O10+$P10</f>
        <v>31.2018765062488</v>
      </c>
      <c r="S10" s="2" t="n">
        <v>18</v>
      </c>
      <c r="T10" s="2" t="n">
        <v>8</v>
      </c>
    </row>
    <row r="11" customFormat="false" ht="12.8" hidden="false" customHeight="false" outlineLevel="0" collapsed="false">
      <c r="A11" s="1" t="s">
        <v>75</v>
      </c>
      <c r="B11" s="24" t="n">
        <v>32</v>
      </c>
      <c r="C11" s="25" t="n">
        <f aca="false">POWER($B11,C$16)</f>
        <v>14.4200074017733</v>
      </c>
      <c r="D11" s="25" t="n">
        <f aca="false">POWER($B11,D$16)</f>
        <v>4.59479341998814</v>
      </c>
      <c r="E11" s="25" t="n">
        <f aca="false">POWER($B11,E$16)</f>
        <v>2.14354692507259</v>
      </c>
      <c r="F11" s="2" t="n">
        <v>6</v>
      </c>
      <c r="G11" s="2" t="n">
        <v>32</v>
      </c>
      <c r="H11" s="2" t="n">
        <v>24</v>
      </c>
      <c r="I11" s="2" t="n">
        <v>32</v>
      </c>
      <c r="J11" s="2" t="n">
        <v>24</v>
      </c>
      <c r="K11" s="2" t="n">
        <v>32</v>
      </c>
      <c r="L11" s="2" t="n">
        <v>36</v>
      </c>
      <c r="M11" s="2" t="n">
        <v>36</v>
      </c>
      <c r="N11" s="2" t="n">
        <v>2</v>
      </c>
      <c r="O11" s="26" t="n">
        <f aca="false">$O$16*15</f>
        <v>18</v>
      </c>
      <c r="P11" s="24" t="n">
        <f aca="false">INT(LOG(P$16*$D11,2))</f>
        <v>5</v>
      </c>
      <c r="Q11" s="24" t="n">
        <f aca="false">INT(LOG(Q$16*(1/$E11),2))</f>
        <v>2</v>
      </c>
      <c r="R11" s="27" t="n">
        <f aca="false">($E11*5)+5+$O11+$P11</f>
        <v>38.7177346253629</v>
      </c>
      <c r="S11" s="2" t="n">
        <v>20</v>
      </c>
      <c r="T11" s="2" t="n">
        <v>10</v>
      </c>
    </row>
    <row r="12" customFormat="false" ht="12.8" hidden="false" customHeight="false" outlineLevel="0" collapsed="false">
      <c r="A12" s="1" t="s">
        <v>76</v>
      </c>
      <c r="B12" s="24" t="n">
        <v>64</v>
      </c>
      <c r="C12" s="25" t="n">
        <f aca="false">POWER($B12,C$16)</f>
        <v>24.5900029006082</v>
      </c>
      <c r="D12" s="25" t="n">
        <f aca="false">POWER($B12,D$16)</f>
        <v>6.233316637284</v>
      </c>
      <c r="E12" s="25" t="n">
        <f aca="false">POWER($B12,E$16)</f>
        <v>2.49666109780322</v>
      </c>
      <c r="F12" s="2" t="n">
        <v>7</v>
      </c>
      <c r="G12" s="2" t="n">
        <v>36</v>
      </c>
      <c r="H12" s="2" t="n">
        <v>32</v>
      </c>
      <c r="I12" s="2" t="n">
        <v>36</v>
      </c>
      <c r="J12" s="2" t="n">
        <v>32</v>
      </c>
      <c r="K12" s="2" t="n">
        <v>36</v>
      </c>
      <c r="L12" s="2" t="n">
        <v>54</v>
      </c>
      <c r="M12" s="2" t="n">
        <v>60</v>
      </c>
      <c r="N12" s="2" t="n">
        <v>2</v>
      </c>
      <c r="O12" s="26" t="n">
        <f aca="false">$O$16*20</f>
        <v>24</v>
      </c>
      <c r="P12" s="24" t="n">
        <f aca="false">INT(LOG(P$16*$D12,2))</f>
        <v>5</v>
      </c>
      <c r="Q12" s="24" t="n">
        <f aca="false">INT(LOG(Q$16*(1/$E12),2))</f>
        <v>2</v>
      </c>
      <c r="R12" s="27" t="n">
        <f aca="false">($E12*5)+5+$O12+$P12</f>
        <v>46.4833054890161</v>
      </c>
      <c r="S12" s="2" t="n">
        <v>22</v>
      </c>
      <c r="T12" s="2" t="n">
        <v>12</v>
      </c>
    </row>
    <row r="13" customFormat="false" ht="12.8" hidden="false" customHeight="false" outlineLevel="0" collapsed="false">
      <c r="A13" s="1" t="s">
        <v>78</v>
      </c>
      <c r="B13" s="24" t="n">
        <v>128</v>
      </c>
      <c r="C13" s="25" t="n">
        <f aca="false">POWER($B13,C$16)</f>
        <v>41.9325889234676</v>
      </c>
      <c r="D13" s="25" t="n">
        <f aca="false">POWER($B13,D$16)</f>
        <v>8.45614432449104</v>
      </c>
      <c r="E13" s="25" t="n">
        <f aca="false">POWER($B13,E$16)</f>
        <v>2.90794503464062</v>
      </c>
      <c r="F13" s="2" t="n">
        <v>8</v>
      </c>
      <c r="G13" s="2" t="n">
        <v>40</v>
      </c>
      <c r="H13" s="2" t="n">
        <v>36</v>
      </c>
      <c r="I13" s="2" t="n">
        <v>40</v>
      </c>
      <c r="J13" s="2" t="n">
        <v>36</v>
      </c>
      <c r="K13" s="2" t="n">
        <v>40</v>
      </c>
      <c r="L13" s="2" t="n">
        <v>72</v>
      </c>
      <c r="M13" s="2" t="n">
        <v>72</v>
      </c>
      <c r="N13" s="2" t="n">
        <v>1</v>
      </c>
      <c r="O13" s="26" t="n">
        <f aca="false">$O$16*25</f>
        <v>30</v>
      </c>
      <c r="P13" s="24" t="n">
        <f aca="false">INT(LOG(P$16*$D13,2))</f>
        <v>6</v>
      </c>
      <c r="Q13" s="24" t="n">
        <f aca="false">INT(LOG(Q$16*(1/$E13),2))</f>
        <v>1</v>
      </c>
      <c r="R13" s="27" t="n">
        <f aca="false">($E13*5)+5+$O13+$P13</f>
        <v>55.5397251732031</v>
      </c>
      <c r="S13" s="2" t="n">
        <v>24</v>
      </c>
      <c r="T13" s="2" t="n">
        <v>14</v>
      </c>
    </row>
    <row r="14" customFormat="false" ht="12.8" hidden="false" customHeight="false" outlineLevel="0" collapsed="false">
      <c r="C14" s="14"/>
      <c r="D14" s="14"/>
      <c r="E14" s="14"/>
      <c r="G14" s="17" t="s">
        <v>132</v>
      </c>
      <c r="O14" s="14"/>
    </row>
    <row r="15" customFormat="false" ht="12.8" hidden="false" customHeight="false" outlineLevel="0" collapsed="false">
      <c r="C15" s="14"/>
      <c r="D15" s="14"/>
      <c r="E15" s="14"/>
      <c r="G15" s="28" t="s">
        <v>133</v>
      </c>
      <c r="O15" s="14"/>
    </row>
    <row r="16" customFormat="false" ht="12.8" hidden="false" customHeight="false" outlineLevel="0" collapsed="false">
      <c r="C16" s="14" t="n">
        <v>0.77</v>
      </c>
      <c r="D16" s="14" t="n">
        <v>0.44</v>
      </c>
      <c r="E16" s="14" t="n">
        <v>0.22</v>
      </c>
      <c r="G16" s="28" t="s">
        <v>134</v>
      </c>
      <c r="O16" s="14" t="n">
        <v>1.2</v>
      </c>
      <c r="P16" s="2" t="n">
        <v>10</v>
      </c>
      <c r="Q16" s="2" t="n">
        <v>10</v>
      </c>
    </row>
    <row r="17" customFormat="false" ht="12.8" hidden="false" customHeight="false" outlineLevel="0" collapsed="false">
      <c r="C17" s="14"/>
      <c r="D17" s="14"/>
      <c r="E17" s="14"/>
      <c r="G17" s="28" t="s">
        <v>135</v>
      </c>
      <c r="O17" s="14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29" t="s">
        <v>136</v>
      </c>
    </row>
    <row r="2" customFormat="false" ht="12.8" hidden="false" customHeight="false" outlineLevel="0" collapsed="false">
      <c r="A2" s="22" t="s">
        <v>137</v>
      </c>
      <c r="B2" s="22" t="s">
        <v>138</v>
      </c>
    </row>
    <row r="3" customFormat="false" ht="12.8" hidden="false" customHeight="false" outlineLevel="0" collapsed="false">
      <c r="A3" s="14" t="n">
        <v>1</v>
      </c>
      <c r="B3" s="30" t="n">
        <f aca="false">1+INT(LOG($A3,5)*2)</f>
        <v>1</v>
      </c>
    </row>
    <row r="4" customFormat="false" ht="12.8" hidden="false" customHeight="false" outlineLevel="0" collapsed="false">
      <c r="A4" s="14" t="n">
        <v>2</v>
      </c>
      <c r="B4" s="30" t="n">
        <f aca="false">1+INT(LOG($A4,5)*2)</f>
        <v>1</v>
      </c>
    </row>
    <row r="5" customFormat="false" ht="12.8" hidden="false" customHeight="false" outlineLevel="0" collapsed="false">
      <c r="A5" s="14" t="n">
        <v>3</v>
      </c>
      <c r="B5" s="30" t="n">
        <f aca="false">1+INT(LOG($A5,5)*2)</f>
        <v>2</v>
      </c>
    </row>
    <row r="6" customFormat="false" ht="12.8" hidden="false" customHeight="false" outlineLevel="0" collapsed="false">
      <c r="A6" s="14" t="n">
        <v>4</v>
      </c>
      <c r="B6" s="30" t="n">
        <f aca="false">1+INT(LOG($A6,5)*2)</f>
        <v>2</v>
      </c>
    </row>
    <row r="7" customFormat="false" ht="12.8" hidden="false" customHeight="false" outlineLevel="0" collapsed="false">
      <c r="A7" s="14" t="n">
        <v>5</v>
      </c>
      <c r="B7" s="30" t="n">
        <f aca="false">1+INT(LOG($A7,5)*2)</f>
        <v>3</v>
      </c>
    </row>
    <row r="8" customFormat="false" ht="12.8" hidden="false" customHeight="false" outlineLevel="0" collapsed="false">
      <c r="A8" s="14" t="n">
        <v>11</v>
      </c>
      <c r="B8" s="30" t="n">
        <f aca="false">1+INT(LOG($A8,5)*2)</f>
        <v>3</v>
      </c>
    </row>
    <row r="9" customFormat="false" ht="12.8" hidden="false" customHeight="false" outlineLevel="0" collapsed="false">
      <c r="A9" s="14" t="n">
        <v>12</v>
      </c>
      <c r="B9" s="30" t="n">
        <f aca="false">1+INT(LOG($A9,5)*2)</f>
        <v>4</v>
      </c>
    </row>
    <row r="10" customFormat="false" ht="12.8" hidden="false" customHeight="false" outlineLevel="0" collapsed="false">
      <c r="A10" s="14" t="n">
        <v>24</v>
      </c>
      <c r="B10" s="30" t="n">
        <f aca="false">1+INT(LOG($A10,5)*2)</f>
        <v>4</v>
      </c>
    </row>
    <row r="11" customFormat="false" ht="12.8" hidden="false" customHeight="false" outlineLevel="0" collapsed="false">
      <c r="A11" s="14" t="n">
        <v>25</v>
      </c>
      <c r="B11" s="30" t="n">
        <f aca="false">1+INT(LOG($A11,5)*2)</f>
        <v>5</v>
      </c>
    </row>
    <row r="12" customFormat="false" ht="12.8" hidden="false" customHeight="false" outlineLevel="0" collapsed="false">
      <c r="A12" s="14" t="n">
        <v>55</v>
      </c>
      <c r="B12" s="30" t="n">
        <f aca="false">1+INT(LOG($A12,5)*2)</f>
        <v>5</v>
      </c>
    </row>
    <row r="13" customFormat="false" ht="12.8" hidden="false" customHeight="false" outlineLevel="0" collapsed="false">
      <c r="A13" s="14" t="n">
        <v>56</v>
      </c>
      <c r="B13" s="30" t="n">
        <f aca="false">1+INT(LOG($A13,5)*2)</f>
        <v>6</v>
      </c>
    </row>
    <row r="14" customFormat="false" ht="12.8" hidden="false" customHeight="false" outlineLevel="0" collapsed="false">
      <c r="A14" s="14" t="n">
        <v>100</v>
      </c>
      <c r="B14" s="30" t="n">
        <f aca="false">1+INT(LOG($A14,5)*2)</f>
        <v>6</v>
      </c>
    </row>
    <row r="15" customFormat="false" ht="12.8" hidden="false" customHeight="false" outlineLevel="0" collapsed="false">
      <c r="A15" s="14" t="n">
        <v>124</v>
      </c>
      <c r="B15" s="30" t="n">
        <f aca="false">1+INT(LOG($A15,5)*2)</f>
        <v>6</v>
      </c>
    </row>
    <row r="16" customFormat="false" ht="12.8" hidden="false" customHeight="false" outlineLevel="0" collapsed="false">
      <c r="A16" s="14" t="n">
        <v>125</v>
      </c>
      <c r="B16" s="30" t="n">
        <f aca="false">1+INT(LOG($A16,5)*2)</f>
        <v>7</v>
      </c>
    </row>
    <row r="17" customFormat="false" ht="12.8" hidden="false" customHeight="false" outlineLevel="0" collapsed="false">
      <c r="A17" s="14" t="n">
        <v>150</v>
      </c>
      <c r="B17" s="30" t="n">
        <f aca="false">1+INT(LOG($A17,5)*2)</f>
        <v>7</v>
      </c>
    </row>
    <row r="18" customFormat="false" ht="12.8" hidden="false" customHeight="false" outlineLevel="0" collapsed="false">
      <c r="A18" s="14" t="n">
        <v>200</v>
      </c>
      <c r="B18" s="30" t="n">
        <f aca="false">1+INT(LOG($A18,5)*2)</f>
        <v>7</v>
      </c>
    </row>
    <row r="19" customFormat="false" ht="12.8" hidden="false" customHeight="false" outlineLevel="0" collapsed="false">
      <c r="A19" s="14" t="n">
        <v>250</v>
      </c>
      <c r="B19" s="30" t="n">
        <f aca="false">1+INT(LOG($A19,5)*2)</f>
        <v>7</v>
      </c>
    </row>
    <row r="20" customFormat="false" ht="12.8" hidden="false" customHeight="false" outlineLevel="0" collapsed="false">
      <c r="A20" s="14" t="n">
        <v>279</v>
      </c>
      <c r="B20" s="30" t="n">
        <f aca="false">1+INT(LOG($A20,5)*2)</f>
        <v>7</v>
      </c>
    </row>
    <row r="21" customFormat="false" ht="12.8" hidden="false" customHeight="false" outlineLevel="0" collapsed="false">
      <c r="A21" s="14" t="n">
        <v>280</v>
      </c>
      <c r="B21" s="30" t="n">
        <f aca="false">1+INT(LOG($A21,5)*2)</f>
        <v>8</v>
      </c>
    </row>
    <row r="22" customFormat="false" ht="12.8" hidden="false" customHeight="false" outlineLevel="0" collapsed="false">
      <c r="A22" s="14" t="n">
        <v>290</v>
      </c>
      <c r="B22" s="30" t="n">
        <f aca="false">1+INT(LOG($A22,5)*2)</f>
        <v>8</v>
      </c>
    </row>
    <row r="23" customFormat="false" ht="12.8" hidden="false" customHeight="false" outlineLevel="0" collapsed="false">
      <c r="A23" s="14" t="n">
        <v>300</v>
      </c>
      <c r="B23" s="30" t="n">
        <f aca="false">1+INT(LOG($A23,5)*2)</f>
        <v>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1054</TotalTime>
  <Application>LibreOffice/6.1.1.2$Linux_X86_64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2018-09-14T05:19:46Z</dcterms:created>
  <dc:creator>Alfred Reibenschuh</dc:creator>
  <dc:description/>
  <dc:language>de-AT</dc:language>
  <cp:lastModifiedBy>Alfred Reibenschuh</cp:lastModifiedBy>
  <dcterms:modified xsi:type="dcterms:W3CDTF">2018-10-01T22:37:07Z</dcterms:modified>
  <cp:revision>6</cp:revision>
  <dc:subject/>
  <dc:title/>
</cp:coreProperties>
</file>