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drawings/drawing1.xml" ContentType="application/vnd.openxmlformats-officedocument.drawing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_rels/sheet4.xml.rels" ContentType="application/vnd.openxmlformats-package.relationships+xml"/>
  <Override PartName="/xl/worksheets/sheet7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tats" sheetId="1" state="visible" r:id="rId2"/>
    <sheet name="Type" sheetId="2" state="visible" r:id="rId3"/>
    <sheet name="Movement" sheetId="3" state="visible" r:id="rId4"/>
    <sheet name="Category" sheetId="4" state="visible" r:id="rId5"/>
    <sheet name="Role" sheetId="5" state="visible" r:id="rId6"/>
    <sheet name="Size" sheetId="6" state="visible" r:id="rId7"/>
    <sheet name="RoleMaster_Stats" sheetId="7" state="visible" r:id="rId8"/>
  </sheets>
  <definedNames>
    <definedName function="false" hidden="true" localSheetId="3" name="_xlnm._FilterDatabase" vbProcedure="false">Category!$A$1:$AE$19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<sst xmlns="http://schemas.openxmlformats.org/spreadsheetml/2006/main" count="839" uniqueCount="163">
  <si>
    <t xml:space="preserve">Name</t>
  </si>
  <si>
    <t xml:space="preserve">Threat</t>
  </si>
  <si>
    <t xml:space="preserve">Type</t>
  </si>
  <si>
    <t xml:space="preserve">Size</t>
  </si>
  <si>
    <t xml:space="preserve">Role</t>
  </si>
  <si>
    <t xml:space="preserve">Category</t>
  </si>
  <si>
    <t xml:space="preserve">Legged</t>
  </si>
  <si>
    <t xml:space="preserve">SIL</t>
  </si>
  <si>
    <t xml:space="preserve">BRN</t>
  </si>
  <si>
    <t xml:space="preserve">AGL</t>
  </si>
  <si>
    <t xml:space="preserve">INT</t>
  </si>
  <si>
    <t xml:space="preserve">CUN</t>
  </si>
  <si>
    <t xml:space="preserve">WPR</t>
  </si>
  <si>
    <t xml:space="preserve">PRE</t>
  </si>
  <si>
    <t xml:space="preserve">WS</t>
  </si>
  <si>
    <t xml:space="preserve">RS</t>
  </si>
  <si>
    <t xml:space="preserve">ES</t>
  </si>
  <si>
    <t xml:space="preserve">WT/W2</t>
  </si>
  <si>
    <t xml:space="preserve">ST</t>
  </si>
  <si>
    <t xml:space="preserve">SK</t>
  </si>
  <si>
    <t xml:space="preserve">INI</t>
  </si>
  <si>
    <t xml:space="preserve">MOV</t>
  </si>
  <si>
    <t xml:space="preserve">xINI</t>
  </si>
  <si>
    <t xml:space="preserve">xSPD</t>
  </si>
  <si>
    <t xml:space="preserve">xMOV</t>
  </si>
  <si>
    <t xml:space="preserve">pBRN</t>
  </si>
  <si>
    <t xml:space="preserve">tBRN</t>
  </si>
  <si>
    <t xml:space="preserve">pAGL</t>
  </si>
  <si>
    <t xml:space="preserve">tAGL</t>
  </si>
  <si>
    <t xml:space="preserve">nWPR</t>
  </si>
  <si>
    <t xml:space="preserve">xWPR</t>
  </si>
  <si>
    <t xml:space="preserve">rWPR</t>
  </si>
  <si>
    <t xml:space="preserve">nPRE</t>
  </si>
  <si>
    <t xml:space="preserve">xPRE</t>
  </si>
  <si>
    <t xml:space="preserve">rPRE</t>
  </si>
  <si>
    <t xml:space="preserve">nCUN</t>
  </si>
  <si>
    <t xml:space="preserve">xCUN</t>
  </si>
  <si>
    <t xml:space="preserve">rCUN</t>
  </si>
  <si>
    <t xml:space="preserve">nINT</t>
  </si>
  <si>
    <t xml:space="preserve">xINT</t>
  </si>
  <si>
    <t xml:space="preserve">uINT</t>
  </si>
  <si>
    <t xml:space="preserve">rINT</t>
  </si>
  <si>
    <t xml:space="preserve">nAGL</t>
  </si>
  <si>
    <t xml:space="preserve">xAGL</t>
  </si>
  <si>
    <t xml:space="preserve">sAGL</t>
  </si>
  <si>
    <t xml:space="preserve">rAGL</t>
  </si>
  <si>
    <t xml:space="preserve">nBRN</t>
  </si>
  <si>
    <t xml:space="preserve">xBRN</t>
  </si>
  <si>
    <t xml:space="preserve">sBRN</t>
  </si>
  <si>
    <t xml:space="preserve">rBRN</t>
  </si>
  <si>
    <t xml:space="preserve">bWT</t>
  </si>
  <si>
    <t xml:space="preserve">mWT</t>
  </si>
  <si>
    <t xml:space="preserve">rWT</t>
  </si>
  <si>
    <t xml:space="preserve">tWT</t>
  </si>
  <si>
    <t xml:space="preserve">sWT</t>
  </si>
  <si>
    <t xml:space="preserve">pWT1</t>
  </si>
  <si>
    <t xml:space="preserve">pWT2</t>
  </si>
  <si>
    <t xml:space="preserve">pWT3</t>
  </si>
  <si>
    <t xml:space="preserve">rST</t>
  </si>
  <si>
    <t xml:space="preserve">rSK</t>
  </si>
  <si>
    <t xml:space="preserve">rWS</t>
  </si>
  <si>
    <t xml:space="preserve">rRS</t>
  </si>
  <si>
    <t xml:space="preserve">rES</t>
  </si>
  <si>
    <t xml:space="preserve">Rival</t>
  </si>
  <si>
    <t xml:space="preserve">Medium</t>
  </si>
  <si>
    <t xml:space="preserve">Brute</t>
  </si>
  <si>
    <t xml:space="preserve">Aberration</t>
  </si>
  <si>
    <t xml:space="preserve">Biped</t>
  </si>
  <si>
    <t xml:space="preserve">Elemental</t>
  </si>
  <si>
    <t xml:space="preserve">Expert/Soldier</t>
  </si>
  <si>
    <t xml:space="preserve">Mob</t>
  </si>
  <si>
    <t xml:space="preserve">Ninja/Lurker</t>
  </si>
  <si>
    <t xml:space="preserve">Skirmisher</t>
  </si>
  <si>
    <t xml:space="preserve">Support/Controller</t>
  </si>
  <si>
    <t xml:space="preserve">Trickster/Soldier</t>
  </si>
  <si>
    <t xml:space="preserve">Fiend</t>
  </si>
  <si>
    <t xml:space="preserve">Humanoid</t>
  </si>
  <si>
    <t xml:space="preserve">Minion</t>
  </si>
  <si>
    <t xml:space="preserve">Minuscule</t>
  </si>
  <si>
    <t xml:space="preserve">Animal</t>
  </si>
  <si>
    <t xml:space="preserve">Quadruped</t>
  </si>
  <si>
    <t xml:space="preserve">Diminutive</t>
  </si>
  <si>
    <t xml:space="preserve">Tiny</t>
  </si>
  <si>
    <t xml:space="preserve">Small</t>
  </si>
  <si>
    <t xml:space="preserve">Big</t>
  </si>
  <si>
    <t xml:space="preserve">Large</t>
  </si>
  <si>
    <t xml:space="preserve">Huge</t>
  </si>
  <si>
    <t xml:space="preserve">Gargantuan</t>
  </si>
  <si>
    <t xml:space="preserve">Colossal</t>
  </si>
  <si>
    <t xml:space="preserve">Titanic</t>
  </si>
  <si>
    <t xml:space="preserve">Behemoth</t>
  </si>
  <si>
    <t xml:space="preserve">Leviathan</t>
  </si>
  <si>
    <t xml:space="preserve">Beast</t>
  </si>
  <si>
    <t xml:space="preserve">Monstrosity</t>
  </si>
  <si>
    <t xml:space="preserve">Octuped</t>
  </si>
  <si>
    <t xml:space="preserve">Nemesis</t>
  </si>
  <si>
    <t xml:space="preserve">Movement Type</t>
  </si>
  <si>
    <t xml:space="preserve">BMR</t>
  </si>
  <si>
    <t xml:space="preserve">mMOV</t>
  </si>
  <si>
    <t xml:space="preserve">Multiped</t>
  </si>
  <si>
    <t xml:space="preserve">Hexaped</t>
  </si>
  <si>
    <t xml:space="preserve">Sharded</t>
  </si>
  <si>
    <t xml:space="preserve">Cunning</t>
  </si>
  <si>
    <t xml:space="preserve">Intellect</t>
  </si>
  <si>
    <t xml:space="preserve">Dexterity</t>
  </si>
  <si>
    <t xml:space="preserve">Presence</t>
  </si>
  <si>
    <t xml:space="preserve">Willpower</t>
  </si>
  <si>
    <t xml:space="preserve">Physique</t>
  </si>
  <si>
    <t xml:space="preserve">Celestial</t>
  </si>
  <si>
    <t xml:space="preserve">Construct</t>
  </si>
  <si>
    <t xml:space="preserve">Dragon</t>
  </si>
  <si>
    <t xml:space="preserve">Fey</t>
  </si>
  <si>
    <t xml:space="preserve">Giant</t>
  </si>
  <si>
    <t xml:space="preserve">Magical Beast</t>
  </si>
  <si>
    <t xml:space="preserve">Ooze</t>
  </si>
  <si>
    <t xml:space="preserve">Outsider</t>
  </si>
  <si>
    <t xml:space="preserve">Plant</t>
  </si>
  <si>
    <t xml:space="preserve">Shapechanger</t>
  </si>
  <si>
    <t xml:space="preserve">Undead</t>
  </si>
  <si>
    <t xml:space="preserve">xPHY</t>
  </si>
  <si>
    <t xml:space="preserve">xDEX</t>
  </si>
  <si>
    <t xml:space="preserve">xWS</t>
  </si>
  <si>
    <t xml:space="preserve">xRS</t>
  </si>
  <si>
    <t xml:space="preserve">xES</t>
  </si>
  <si>
    <t xml:space="preserve">xSK</t>
  </si>
  <si>
    <t xml:space="preserve">xWT</t>
  </si>
  <si>
    <t xml:space="preserve">xST</t>
  </si>
  <si>
    <t xml:space="preserve">Artillery</t>
  </si>
  <si>
    <t xml:space="preserve">Multiplier</t>
  </si>
  <si>
    <t xml:space="preserve">M#2</t>
  </si>
  <si>
    <t xml:space="preserve">M#3</t>
  </si>
  <si>
    <t xml:space="preserve">M#4</t>
  </si>
  <si>
    <t xml:space="preserve">Silhouette</t>
  </si>
  <si>
    <t xml:space="preserve">Bite</t>
  </si>
  <si>
    <t xml:space="preserve">Claw</t>
  </si>
  <si>
    <t xml:space="preserve">Gore</t>
  </si>
  <si>
    <t xml:space="preserve">(#1)</t>
  </si>
  <si>
    <t xml:space="preserve">(#2)</t>
  </si>
  <si>
    <t xml:space="preserve">(#3)</t>
  </si>
  <si>
    <t xml:space="preserve">(#4)</t>
  </si>
  <si>
    <t xml:space="preserve">CR</t>
  </si>
  <si>
    <t xml:space="preserve">WTM</t>
  </si>
  <si>
    <t xml:space="preserve">WT</t>
  </si>
  <si>
    <t xml:space="preserve">-</t>
  </si>
  <si>
    <t xml:space="preserve">#1 – Hoof (L), Tentacle (N), Wings (N)</t>
  </si>
  <si>
    <t xml:space="preserve">#2 – Pincers (L), Tail Slap (N)</t>
  </si>
  <si>
    <t xml:space="preserve">#3 – Slam (N), Sting (L), Talons (L)</t>
  </si>
  <si>
    <t xml:space="preserve">#4 – Other (N/L)</t>
  </si>
  <si>
    <t xml:space="preserve">LEVEL vs DICE</t>
  </si>
  <si>
    <t xml:space="preserve">STAT vs DICE</t>
  </si>
  <si>
    <t xml:space="preserve">LEVEL</t>
  </si>
  <si>
    <t xml:space="preserve">DICE</t>
  </si>
  <si>
    <t xml:space="preserve">STAT+MOD</t>
  </si>
  <si>
    <t xml:space="preserve">Ag</t>
  </si>
  <si>
    <t xml:space="preserve">Co</t>
  </si>
  <si>
    <t xml:space="preserve">Em</t>
  </si>
  <si>
    <t xml:space="preserve">In</t>
  </si>
  <si>
    <t xml:space="preserve">Me</t>
  </si>
  <si>
    <t xml:space="preserve">Pr</t>
  </si>
  <si>
    <t xml:space="preserve">Qu</t>
  </si>
  <si>
    <t xml:space="preserve">Re</t>
  </si>
  <si>
    <t xml:space="preserve">SD</t>
  </si>
  <si>
    <t xml:space="preserve">St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</si>
</sst>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.00"/>
    <numFmt numFmtId="166" formatCode="#,##0.00"/>
    <numFmt numFmtId="167" formatCode="#,##0"/>
    <numFmt numFmtId="168" formatCode="0.000"/>
    <numFmt numFmtId="169" formatCode="\+0;\-0"/>
    <numFmt numFmtId="170" formatCode="0"/>
    <numFmt numFmtId="171" formatCode="0.0"/>
  </numFmts>
  <fonts count="20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FreeSans"/>
      <family val="2"/>
    </font>
    <font>
      <sz val="10"/>
      <name val="FreeSans"/>
      <family val="2"/>
    </font>
    <font>
      <sz val="10"/>
      <color rgb="FF333333"/>
      <name val="FreeSans"/>
      <family val="2"/>
    </font>
    <font>
      <sz val="10"/>
      <color rgb="FF808080"/>
      <name val="FreeSans"/>
      <family val="2"/>
    </font>
    <font>
      <u val="single"/>
      <sz val="10"/>
      <color rgb="FF0000EE"/>
      <name val="FreeSans"/>
      <family val="2"/>
    </font>
    <font>
      <sz val="10"/>
      <color rgb="FF006600"/>
      <name val="FreeSans"/>
      <family val="2"/>
    </font>
    <font>
      <sz val="10"/>
      <color rgb="FF996600"/>
      <name val="FreeSans"/>
      <family val="2"/>
    </font>
    <font>
      <sz val="10"/>
      <color rgb="FFCC0000"/>
      <name val="FreeSans"/>
      <family val="2"/>
    </font>
    <font>
      <sz val="10"/>
      <color rgb="FFFFFFFF"/>
      <name val="FreeSans"/>
      <family val="2"/>
    </font>
    <font>
      <sz val="9"/>
      <name val="Arial"/>
      <family val="2"/>
    </font>
    <font>
      <i val="true"/>
      <sz val="9"/>
      <name val="Arial"/>
      <family val="2"/>
    </font>
    <font>
      <b val="true"/>
      <sz val="9"/>
      <name val="Arial"/>
      <family val="2"/>
    </font>
    <font>
      <sz val="9"/>
      <color rgb="FF000000"/>
      <name val="Arial"/>
      <family val="2"/>
    </font>
    <font>
      <b val="true"/>
      <sz val="10"/>
      <name val="Arial"/>
      <family val="2"/>
    </font>
    <font>
      <b val="true"/>
      <sz val="9"/>
      <color rgb="FF000000"/>
      <name val="Arial"/>
      <family val="2"/>
    </font>
    <font>
      <b val="true"/>
      <i val="true"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37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5" fillId="0" borderId="0" applyFont="true" applyBorder="false" applyAlignment="false" applyProtection="false"/>
    <xf numFmtId="164" fontId="6" fillId="2" borderId="1" applyFont="true" applyBorder="true" applyAlignment="false" applyProtection="false"/>
    <xf numFmtId="164" fontId="7" fillId="0" borderId="0" applyFont="true" applyBorder="false" applyAlignment="false" applyProtection="false"/>
    <xf numFmtId="164" fontId="8" fillId="0" borderId="0" applyFont="true" applyBorder="false" applyAlignment="false" applyProtection="false"/>
    <xf numFmtId="164" fontId="5" fillId="0" borderId="0" applyFont="true" applyBorder="false" applyAlignment="false" applyProtection="false"/>
    <xf numFmtId="164" fontId="9" fillId="3" borderId="0" applyFont="true" applyBorder="false" applyAlignment="false" applyProtection="false"/>
    <xf numFmtId="164" fontId="10" fillId="2" borderId="0" applyFont="true" applyBorder="false" applyAlignment="false" applyProtection="false"/>
    <xf numFmtId="164" fontId="11" fillId="4" borderId="0" applyFont="true" applyBorder="false" applyAlignment="false" applyProtection="false"/>
    <xf numFmtId="164" fontId="11" fillId="0" borderId="0" applyFont="true" applyBorder="false" applyAlignment="false" applyProtection="false"/>
    <xf numFmtId="164" fontId="12" fillId="5" borderId="0" applyFont="true" applyBorder="false" applyAlignment="false" applyProtection="false"/>
    <xf numFmtId="164" fontId="4" fillId="0" borderId="0" applyFont="true" applyBorder="false" applyAlignment="false" applyProtection="false"/>
    <xf numFmtId="164" fontId="12" fillId="6" borderId="0" applyFont="true" applyBorder="false" applyAlignment="false" applyProtection="false"/>
    <xf numFmtId="164" fontId="12" fillId="7" borderId="0" applyFont="true" applyBorder="false" applyAlignment="false" applyProtection="false"/>
    <xf numFmtId="164" fontId="4" fillId="8" borderId="0" applyFont="true" applyBorder="false" applyAlignment="false" applyProtection="false"/>
  </cellStyleXfs>
  <cellXfs count="3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4" fillId="8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4" fillId="8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14" fillId="8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3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1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8" fontId="13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9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70" fontId="13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71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23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Heading" xfId="20"/>
    <cellStyle name="Heading 1" xfId="21"/>
    <cellStyle name="Heading 2" xfId="22"/>
    <cellStyle name="Text" xfId="23"/>
    <cellStyle name="Note" xfId="24"/>
    <cellStyle name="Footnote" xfId="25"/>
    <cellStyle name="Hyperlink" xfId="26"/>
    <cellStyle name="Status" xfId="27"/>
    <cellStyle name="Good" xfId="28"/>
    <cellStyle name="Neutral" xfId="29"/>
    <cellStyle name="Bad" xfId="30"/>
    <cellStyle name="Warning" xfId="31"/>
    <cellStyle name="Error" xfId="32"/>
    <cellStyle name="Accent" xfId="33"/>
    <cellStyle name="Accent 1" xfId="34"/>
    <cellStyle name="Accent 2" xfId="35"/>
    <cellStyle name="Accent 3" xfId="36"/>
  </cellStyles>
  <dxfs count="1">
    <dxf>
      <font>
        <name val="FreeSans"/>
        <family val="2"/>
        <color rgb="FF996600"/>
      </font>
      <fill>
        <patternFill>
          <bgColor rgb="FFFFFFCC"/>
        </patternFill>
      </fill>
    </dxf>
  </dxfs>
  <colors>
    <indexedColors>
      <rgbColor rgb="FF000000"/>
      <rgbColor rgb="FFFFFFFF"/>
      <rgbColor rgb="FFCC0000"/>
      <rgbColor rgb="FF00FF00"/>
      <rgbColor rgb="FF0000EE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137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26" ySplit="1" topLeftCell="BA95" activePane="bottomRight" state="frozen"/>
      <selection pane="topLeft" activeCell="A1" activeCellId="0" sqref="A1"/>
      <selection pane="topRight" activeCell="BA1" activeCellId="0" sqref="BA1"/>
      <selection pane="bottomLeft" activeCell="A95" activeCellId="0" sqref="A95"/>
      <selection pane="bottomRight" activeCell="B137" activeCellId="0" sqref="B137"/>
    </sheetView>
  </sheetViews>
  <sheetFormatPr defaultRowHeight="12.8" zeroHeight="false" outlineLevelRow="0" outlineLevelCol="0"/>
  <cols>
    <col collapsed="false" customWidth="true" hidden="false" outlineLevel="0" max="1" min="1" style="1" width="25.56"/>
    <col collapsed="false" customWidth="true" hidden="false" outlineLevel="0" max="2" min="2" style="2" width="6.39"/>
    <col collapsed="false" customWidth="true" hidden="false" outlineLevel="0" max="3" min="3" style="3" width="8.19"/>
    <col collapsed="false" customWidth="false" hidden="false" outlineLevel="0" max="4" min="4" style="1" width="11.52"/>
    <col collapsed="false" customWidth="true" hidden="false" outlineLevel="0" max="5" min="5" style="1" width="17.22"/>
    <col collapsed="false" customWidth="false" hidden="false" outlineLevel="0" max="6" min="6" style="1" width="11.52"/>
    <col collapsed="false" customWidth="true" hidden="false" outlineLevel="0" max="7" min="7" style="1" width="12.22"/>
    <col collapsed="false" customWidth="true" hidden="false" outlineLevel="0" max="20" min="8" style="4" width="4.99"/>
    <col collapsed="false" customWidth="true" hidden="false" outlineLevel="0" max="22" min="21" style="2" width="4.99"/>
    <col collapsed="false" customWidth="true" hidden="false" outlineLevel="0" max="23" min="23" style="1" width="25.14"/>
    <col collapsed="false" customWidth="true" hidden="false" outlineLevel="0" max="26" min="24" style="5" width="5.14"/>
    <col collapsed="false" customWidth="true" hidden="false" outlineLevel="0" max="27" min="27" style="1" width="5.14"/>
    <col collapsed="false" customWidth="true" hidden="false" outlineLevel="0" max="31" min="28" style="5" width="5.14"/>
    <col collapsed="false" customWidth="true" hidden="false" outlineLevel="0" max="32" min="32" style="1" width="5.14"/>
    <col collapsed="false" customWidth="true" hidden="false" outlineLevel="0" max="35" min="33" style="6" width="5.14"/>
    <col collapsed="false" customWidth="true" hidden="false" outlineLevel="0" max="45" min="36" style="5" width="5.14"/>
    <col collapsed="false" customWidth="true" hidden="false" outlineLevel="0" max="53" min="46" style="7" width="5.14"/>
    <col collapsed="false" customWidth="true" hidden="false" outlineLevel="0" max="54" min="54" style="1" width="5.14"/>
    <col collapsed="false" customWidth="true" hidden="false" outlineLevel="0" max="62" min="55" style="7" width="5.14"/>
    <col collapsed="false" customWidth="true" hidden="false" outlineLevel="0" max="63" min="63" style="8" width="5.14"/>
    <col collapsed="false" customWidth="true" hidden="false" outlineLevel="0" max="65" min="64" style="7" width="5.14"/>
    <col collapsed="false" customWidth="true" hidden="false" outlineLevel="0" max="66" min="66" style="1" width="5.14"/>
    <col collapsed="false" customWidth="true" hidden="false" outlineLevel="0" max="69" min="67" style="7" width="5.14"/>
    <col collapsed="false" customWidth="false" hidden="false" outlineLevel="0" max="1020" min="70" style="1" width="11.52"/>
    <col collapsed="false" customWidth="false" hidden="false" outlineLevel="0" max="1025" min="1021" style="0" width="11.52"/>
  </cols>
  <sheetData>
    <row r="1" s="12" customFormat="true" ht="12.8" hidden="false" customHeight="false" outlineLevel="0" collapsed="false">
      <c r="A1" s="9" t="s">
        <v>0</v>
      </c>
      <c r="B1" s="10" t="s">
        <v>1</v>
      </c>
      <c r="C1" s="11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10" t="s">
        <v>7</v>
      </c>
      <c r="I1" s="10" t="s">
        <v>8</v>
      </c>
      <c r="J1" s="10" t="s">
        <v>9</v>
      </c>
      <c r="K1" s="10" t="s">
        <v>10</v>
      </c>
      <c r="L1" s="10" t="s">
        <v>11</v>
      </c>
      <c r="M1" s="10" t="s">
        <v>12</v>
      </c>
      <c r="N1" s="10" t="s">
        <v>13</v>
      </c>
      <c r="O1" s="10" t="s">
        <v>14</v>
      </c>
      <c r="P1" s="10" t="s">
        <v>15</v>
      </c>
      <c r="Q1" s="10" t="s">
        <v>16</v>
      </c>
      <c r="R1" s="10" t="s">
        <v>17</v>
      </c>
      <c r="S1" s="10" t="s">
        <v>18</v>
      </c>
      <c r="T1" s="10" t="s">
        <v>19</v>
      </c>
      <c r="U1" s="10" t="s">
        <v>20</v>
      </c>
      <c r="V1" s="10" t="s">
        <v>21</v>
      </c>
      <c r="X1" s="5" t="s">
        <v>22</v>
      </c>
      <c r="Y1" s="5" t="s">
        <v>23</v>
      </c>
      <c r="Z1" s="5" t="s">
        <v>24</v>
      </c>
      <c r="AB1" s="5" t="s">
        <v>25</v>
      </c>
      <c r="AC1" s="5" t="s">
        <v>26</v>
      </c>
      <c r="AD1" s="5" t="s">
        <v>27</v>
      </c>
      <c r="AE1" s="5" t="s">
        <v>28</v>
      </c>
      <c r="AG1" s="6" t="s">
        <v>29</v>
      </c>
      <c r="AH1" s="6" t="s">
        <v>30</v>
      </c>
      <c r="AI1" s="6" t="s">
        <v>31</v>
      </c>
      <c r="AJ1" s="5" t="s">
        <v>32</v>
      </c>
      <c r="AK1" s="5" t="s">
        <v>33</v>
      </c>
      <c r="AL1" s="5" t="s">
        <v>34</v>
      </c>
      <c r="AM1" s="5" t="s">
        <v>35</v>
      </c>
      <c r="AN1" s="5" t="s">
        <v>36</v>
      </c>
      <c r="AO1" s="5" t="s">
        <v>37</v>
      </c>
      <c r="AP1" s="5" t="s">
        <v>38</v>
      </c>
      <c r="AQ1" s="5" t="s">
        <v>39</v>
      </c>
      <c r="AR1" s="5" t="s">
        <v>40</v>
      </c>
      <c r="AS1" s="5" t="s">
        <v>41</v>
      </c>
      <c r="AT1" s="7" t="s">
        <v>42</v>
      </c>
      <c r="AU1" s="7" t="s">
        <v>43</v>
      </c>
      <c r="AV1" s="7" t="s">
        <v>44</v>
      </c>
      <c r="AW1" s="7" t="s">
        <v>45</v>
      </c>
      <c r="AX1" s="7" t="s">
        <v>46</v>
      </c>
      <c r="AY1" s="7" t="s">
        <v>47</v>
      </c>
      <c r="AZ1" s="7" t="s">
        <v>48</v>
      </c>
      <c r="BA1" s="7" t="s">
        <v>49</v>
      </c>
      <c r="BC1" s="7" t="s">
        <v>50</v>
      </c>
      <c r="BD1" s="7" t="s">
        <v>51</v>
      </c>
      <c r="BE1" s="7" t="s">
        <v>52</v>
      </c>
      <c r="BF1" s="7" t="s">
        <v>53</v>
      </c>
      <c r="BG1" s="7" t="s">
        <v>54</v>
      </c>
      <c r="BH1" s="7" t="s">
        <v>55</v>
      </c>
      <c r="BI1" s="7" t="s">
        <v>56</v>
      </c>
      <c r="BJ1" s="7" t="s">
        <v>57</v>
      </c>
      <c r="BK1" s="8"/>
      <c r="BL1" s="7" t="s">
        <v>58</v>
      </c>
      <c r="BM1" s="7" t="s">
        <v>59</v>
      </c>
      <c r="BO1" s="7" t="s">
        <v>60</v>
      </c>
      <c r="BP1" s="7" t="s">
        <v>61</v>
      </c>
      <c r="BQ1" s="7" t="s">
        <v>62</v>
      </c>
      <c r="AMG1" s="0"/>
      <c r="AMH1" s="0"/>
      <c r="AMI1" s="0"/>
      <c r="AMJ1" s="0"/>
    </row>
    <row r="2" customFormat="false" ht="12.8" hidden="false" customHeight="false" outlineLevel="0" collapsed="false">
      <c r="B2" s="2" t="n">
        <v>1</v>
      </c>
      <c r="C2" s="3" t="s">
        <v>63</v>
      </c>
      <c r="D2" s="1" t="s">
        <v>64</v>
      </c>
      <c r="E2" s="1" t="s">
        <v>65</v>
      </c>
      <c r="F2" s="1" t="s">
        <v>66</v>
      </c>
      <c r="G2" s="1" t="s">
        <v>67</v>
      </c>
      <c r="H2" s="4" t="n">
        <f aca="false">VLOOKUP($D2,Size!$A$2:$Z$14,6,0)</f>
        <v>1</v>
      </c>
      <c r="I2" s="13" t="n">
        <f aca="false">INT(($B2*$AZ2*$AX2*$BA2)+($B2*$AY2))</f>
        <v>1</v>
      </c>
      <c r="J2" s="4" t="n">
        <f aca="false">ROUND((($B2*$AT2)+($AV2*$AU2))*$AW2,0)</f>
        <v>1</v>
      </c>
      <c r="K2" s="4" t="n">
        <f aca="false">ROUND((($B2*$AP2)+($B2*$AQ2))*$AS2,0)</f>
        <v>1</v>
      </c>
      <c r="L2" s="4" t="n">
        <f aca="false">ROUND((($B2*$AM2)+($B2*$AN2))*$AO2,0)</f>
        <v>0</v>
      </c>
      <c r="M2" s="4" t="n">
        <f aca="false">ROUND((($B2*$AG2)+($B2*$AH2))*$AI2,0)</f>
        <v>1</v>
      </c>
      <c r="N2" s="4" t="n">
        <f aca="false">ROUND((($B2*$AJ2)+($B2*$AK2))*$AL2,0)</f>
        <v>0</v>
      </c>
      <c r="O2" s="4" t="n">
        <f aca="false">INT($BO2*$B2)</f>
        <v>1</v>
      </c>
      <c r="P2" s="4" t="n">
        <f aca="false">INT($BP2*$B2)</f>
        <v>0</v>
      </c>
      <c r="Q2" s="4" t="n">
        <f aca="false">INT($BQ2*$B2*$AR2)</f>
        <v>0</v>
      </c>
      <c r="R2" s="4" t="n">
        <f aca="false">IF($R$1="WT/G",INT(POWER($BH2*$BJ2*$BI2,0.333333)),0)+IF($R$1="WT/A",INT(($BH2+$BJ2+$BI2)/3),0)+IF($R$1="WT/A2",INT(($BJ2+$BI2)/2),0)+IF($R$1="WT/W",INT(($BH2+$BJ2+$BJ2+$BI2)/4),0)+IF($R$1="WT/W2",INT(($BH2+$BJ2+$BI2+$BI2)/4),0)+IF($R$1="WT/N",INT(MIN($BH2,$BJ2,$BI2)),0)+IF($R$1="WT/M",INT(MAX($BH2,$BJ2,$BI2)),0)+IF($R$1="WT/1",INT($BH2),0)+IF($R$1="WT/2",INT($BI2),0)+IF($R$1="WT/3",INT($BJ2),0)</f>
        <v>11</v>
      </c>
      <c r="S2" s="4" t="n">
        <f aca="false">INT((10+$M2)*$BL2)</f>
        <v>16</v>
      </c>
      <c r="T2" s="4" t="n">
        <f aca="false">INT($I2*$BM2*$BF2)</f>
        <v>1</v>
      </c>
      <c r="U2" s="2" t="n">
        <f aca="false">ROUND(MAX($J2,$L2)+(MIN($J2,$L2)*$X2),0)</f>
        <v>1</v>
      </c>
      <c r="V2" s="2" t="n">
        <f aca="false">MAX(1,INT(((MIN($I2:$J2)+(MAX($I2:$J2)*$H2*$Y2)))*$Z2))</f>
        <v>1</v>
      </c>
      <c r="X2" s="5" t="n">
        <f aca="false">VLOOKUP($E2,Role!$A$2:$O$9,14,0)</f>
        <v>0.5</v>
      </c>
      <c r="Y2" s="5" t="n">
        <f aca="false">VLOOKUP($E2,Role!$A$2:$O$9,15,0)</f>
        <v>0.5</v>
      </c>
      <c r="Z2" s="5" t="n">
        <f aca="false">VLOOKUP($G2,Movement!$A$2:$C$7,3,0)</f>
        <v>1</v>
      </c>
      <c r="AB2" s="5" t="n">
        <f aca="false">INT(5+(($H2-1)/3))</f>
        <v>5</v>
      </c>
      <c r="AC2" s="5" t="n">
        <f aca="false">IF($AB2&lt;$I2,$I2-MAX($AB2,$B2),0)</f>
        <v>0</v>
      </c>
      <c r="AD2" s="5" t="n">
        <f aca="false">(5-ROUND(($H2-1)/3,0))</f>
        <v>5</v>
      </c>
      <c r="AE2" s="5" t="n">
        <f aca="false">IF($AD2&lt;$J2,$J2-MAX($AD2,$B2),0)</f>
        <v>0</v>
      </c>
      <c r="AG2" s="6" t="n">
        <f aca="false">VLOOKUP($F2,Category!$A$2:$AZ$20,24,0)</f>
        <v>0</v>
      </c>
      <c r="AH2" s="6" t="n">
        <f aca="false">VLOOKUP($F2,Category!$A$2:$AZ$20,26,0)</f>
        <v>0.666666666666667</v>
      </c>
      <c r="AI2" s="6" t="n">
        <f aca="false">VLOOKUP($E2,Role!$A$2:$O$9,6,0)</f>
        <v>1</v>
      </c>
      <c r="AJ2" s="6" t="n">
        <f aca="false">VLOOKUP($F2,Category!$A$2:$AZ$20,19,0)</f>
        <v>0.0909090909090909</v>
      </c>
      <c r="AK2" s="6" t="n">
        <f aca="false">VLOOKUP($F2,Category!$A$2:$AZ$20,21,0)</f>
        <v>0.727272727272727</v>
      </c>
      <c r="AL2" s="6" t="n">
        <f aca="false">VLOOKUP($E2,Role!$A$2:$O$9,7,0)</f>
        <v>0.6</v>
      </c>
      <c r="AM2" s="6" t="n">
        <f aca="false">VLOOKUP($F2,Category!$A$2:$AZ$20,19,0)</f>
        <v>0.0909090909090909</v>
      </c>
      <c r="AN2" s="6" t="n">
        <f aca="false">VLOOKUP($F2,Category!$A$2:$AZ$20,21,0)</f>
        <v>0.727272727272727</v>
      </c>
      <c r="AO2" s="6" t="n">
        <f aca="false">VLOOKUP($E2,Role!$A$2:$O$9,5,0)</f>
        <v>0.6</v>
      </c>
      <c r="AP2" s="6" t="n">
        <f aca="false">VLOOKUP($F2,Category!$A$2:$AZ$20,9,0)</f>
        <v>0.111111111111111</v>
      </c>
      <c r="AQ2" s="6" t="n">
        <f aca="false">VLOOKUP($F2,Category!$A$2:$AZ$20,11,0)</f>
        <v>0.888888888888889</v>
      </c>
      <c r="AR2" s="6" t="n">
        <f aca="false">VLOOKUP($F2,Category!$A$2:$AZ$20,10,0)</f>
        <v>1</v>
      </c>
      <c r="AS2" s="6" t="n">
        <f aca="false">VLOOKUP($E2,Role!$A$2:$O$9,4,0)</f>
        <v>0.6</v>
      </c>
      <c r="AT2" s="7" t="n">
        <f aca="false">VLOOKUP($F2,Category!$A$2:$AZ$20,14,0)</f>
        <v>0.333333333333333</v>
      </c>
      <c r="AU2" s="7" t="n">
        <f aca="false">VLOOKUP($F2,Category!$A$2:$AZ$20,16,0)</f>
        <v>0.333333333333333</v>
      </c>
      <c r="AV2" s="7" t="n">
        <f aca="false">VLOOKUP($D2,Size!$A$2:$Z$14,17,0)</f>
        <v>3</v>
      </c>
      <c r="AW2" s="7" t="n">
        <f aca="false">VLOOKUP($E2,Role!$A$2:$O$9,3,0)</f>
        <v>0.6</v>
      </c>
      <c r="AX2" s="7" t="n">
        <f aca="false">VLOOKUP($F2,Category!$A$2:$AZ$20,29,0)</f>
        <v>0.333333333333333</v>
      </c>
      <c r="AY2" s="7" t="n">
        <f aca="false">VLOOKUP($F2,Category!$A$2:$AZ$20,31,0)</f>
        <v>0.466666666666667</v>
      </c>
      <c r="AZ2" s="7" t="n">
        <f aca="false">VLOOKUP($D2,Size!$A$2:$Z$14,16,0)</f>
        <v>3</v>
      </c>
      <c r="BA2" s="7" t="n">
        <f aca="false">VLOOKUP($E2,Role!$A$2:$O$9,2,0)</f>
        <v>1.2</v>
      </c>
      <c r="BC2" s="7" t="n">
        <f aca="false">VLOOKUP($D2,Size!$A$2:$Z$14,19,0)</f>
        <v>10</v>
      </c>
      <c r="BD2" s="7" t="n">
        <f aca="false">VLOOKUP($D2,Size!$A$2:$Z$14,20,0)</f>
        <v>1</v>
      </c>
      <c r="BE2" s="7" t="n">
        <f aca="false">VLOOKUP($E2,Role!$A$2:$O$9,12,0)</f>
        <v>2</v>
      </c>
      <c r="BF2" s="7" t="n">
        <f aca="false">VLOOKUP($C2,Type!$A$2:$B$4,2,0)</f>
        <v>1</v>
      </c>
      <c r="BG2" s="7" t="n">
        <f aca="false">VLOOKUP($D2,Size!$A$2:$Z$14,18,0)</f>
        <v>13</v>
      </c>
      <c r="BH2" s="7" t="n">
        <f aca="false">INT($BF2*$BG2*$BE2*$B2/2)</f>
        <v>13</v>
      </c>
      <c r="BI2" s="7" t="n">
        <f aca="false">INT(($BC2*$BF2)+($I2*$BD2))</f>
        <v>11</v>
      </c>
      <c r="BJ2" s="7" t="n">
        <f aca="false">INT((($I2*$BE2)+$BC2)*$BF2)</f>
        <v>12</v>
      </c>
      <c r="BK2" s="14"/>
      <c r="BL2" s="7" t="n">
        <f aca="false">VLOOKUP($E2,Role!$A$2:$O$9,13,0)</f>
        <v>1.5</v>
      </c>
      <c r="BM2" s="7" t="n">
        <f aca="false">VLOOKUP($E2,Role!$A$2:$O$9,11,0)</f>
        <v>1</v>
      </c>
      <c r="BO2" s="7" t="n">
        <f aca="false">VLOOKUP($E2,Role!$A$2:$O$9,8,0)</f>
        <v>1</v>
      </c>
      <c r="BP2" s="7" t="n">
        <f aca="false">VLOOKUP($E2,Role!$A$2:$O$9,9,0)</f>
        <v>0.5</v>
      </c>
      <c r="BQ2" s="7" t="n">
        <f aca="false">VLOOKUP($E2,Role!$A$2:$O$9,10,0)</f>
        <v>0.4</v>
      </c>
    </row>
    <row r="3" customFormat="false" ht="12.8" hidden="false" customHeight="false" outlineLevel="0" collapsed="false">
      <c r="B3" s="2" t="n">
        <v>2</v>
      </c>
      <c r="C3" s="3" t="s">
        <v>63</v>
      </c>
      <c r="D3" s="1" t="s">
        <v>64</v>
      </c>
      <c r="E3" s="1" t="s">
        <v>65</v>
      </c>
      <c r="F3" s="1" t="s">
        <v>68</v>
      </c>
      <c r="G3" s="1" t="s">
        <v>67</v>
      </c>
      <c r="H3" s="4" t="n">
        <f aca="false">VLOOKUP($D3,Size!$A$2:$Z$14,6,0)</f>
        <v>1</v>
      </c>
      <c r="I3" s="13" t="n">
        <f aca="false">INT(($B3*$AZ3*$AX3*$BA3)+($B3*$AY3))</f>
        <v>3</v>
      </c>
      <c r="J3" s="4" t="n">
        <f aca="false">ROUND((($B3*$AT3)+($AV3*$AU3))*$AW3,0)</f>
        <v>1</v>
      </c>
      <c r="K3" s="4" t="n">
        <f aca="false">ROUND((($B3*$AP3)+($B3*$AQ3))*$AS3,0)</f>
        <v>1</v>
      </c>
      <c r="L3" s="4" t="n">
        <f aca="false">ROUND((($B3*$AM3)+($B3*$AN3))*$AO3,0)</f>
        <v>1</v>
      </c>
      <c r="M3" s="4" t="n">
        <f aca="false">ROUND((($B3*$AG3)+($B3*$AH3))*$AI3,0)</f>
        <v>2</v>
      </c>
      <c r="N3" s="4" t="n">
        <f aca="false">ROUND((($B3*$AJ3)+($B3*$AK3))*$AL3,0)</f>
        <v>1</v>
      </c>
      <c r="O3" s="4" t="n">
        <f aca="false">INT($BO3*$B3)</f>
        <v>2</v>
      </c>
      <c r="P3" s="4" t="n">
        <f aca="false">INT($BP3*$B3)</f>
        <v>1</v>
      </c>
      <c r="Q3" s="4" t="n">
        <f aca="false">INT($BQ3*$B3*$AR3)</f>
        <v>0</v>
      </c>
      <c r="R3" s="4" t="n">
        <f aca="false">IF($R$1="WT/G",INT(POWER($BH3*$BJ3*$BI3,0.333333)),0)+IF($R$1="WT/A",INT(($BH3+$BJ3+$BI3)/3),0)+IF($R$1="WT/A2",INT(($BJ3+$BI3)/2),0)+IF($R$1="WT/W",INT(($BH3+$BJ3+$BJ3+$BI3)/4),0)+IF($R$1="WT/W2",INT(($BH3+$BJ3+$BI3+$BI3)/4),0)+IF($R$1="WT/N",INT(MIN($BH3,$BJ3,$BI3)),0)+IF($R$1="WT/M",INT(MAX($BH3,$BJ3,$BI3)),0)+IF($R$1="WT/1",INT($BH3),0)+IF($R$1="WT/2",INT($BI3),0)+IF($R$1="WT/3",INT($BJ3),0)</f>
        <v>17</v>
      </c>
      <c r="S3" s="4" t="n">
        <f aca="false">INT((10+$M3)*$BL3)</f>
        <v>18</v>
      </c>
      <c r="T3" s="4" t="n">
        <f aca="false">INT($I3*$BM3*$BF3)</f>
        <v>3</v>
      </c>
      <c r="U3" s="2" t="n">
        <f aca="false">ROUND(MAX($J3,$L3)+(MIN($J3,$L3)*$X3),0)</f>
        <v>2</v>
      </c>
      <c r="V3" s="2" t="n">
        <f aca="false">MAX(1,INT(((MIN($I3:$J3)+(MAX($I3:$J3)*$H3*$Y3)))*$Z3))</f>
        <v>2</v>
      </c>
      <c r="X3" s="5" t="n">
        <f aca="false">VLOOKUP($E3,Role!$A$2:$O$9,14,0)</f>
        <v>0.5</v>
      </c>
      <c r="Y3" s="5" t="n">
        <f aca="false">VLOOKUP($E3,Role!$A$2:$O$9,15,0)</f>
        <v>0.5</v>
      </c>
      <c r="Z3" s="5" t="n">
        <f aca="false">VLOOKUP($G3,Movement!$A$2:$C$7,3,0)</f>
        <v>1</v>
      </c>
      <c r="AB3" s="5" t="n">
        <f aca="false">INT(5+(($H3-1)/3))</f>
        <v>5</v>
      </c>
      <c r="AC3" s="5" t="n">
        <f aca="false">IF($AB3&lt;$I3,$I3-MAX($AB3,$B3),0)</f>
        <v>0</v>
      </c>
      <c r="AD3" s="5" t="n">
        <f aca="false">(5-ROUND(($H3-1)/3,0))</f>
        <v>5</v>
      </c>
      <c r="AE3" s="5" t="n">
        <f aca="false">IF($AD3&lt;$J3,$J3-MAX($AD3,$B3),0)</f>
        <v>0</v>
      </c>
      <c r="AG3" s="6" t="n">
        <f aca="false">VLOOKUP($F3,Category!$A$2:$AZ$20,24,0)</f>
        <v>0.222222222222222</v>
      </c>
      <c r="AH3" s="6" t="n">
        <f aca="false">VLOOKUP($F3,Category!$A$2:$AZ$20,26,0)</f>
        <v>0.666666666666667</v>
      </c>
      <c r="AI3" s="6" t="n">
        <f aca="false">VLOOKUP($E3,Role!$A$2:$O$9,6,0)</f>
        <v>1</v>
      </c>
      <c r="AJ3" s="6" t="n">
        <f aca="false">VLOOKUP($F3,Category!$A$2:$AZ$20,19,0)</f>
        <v>0.181818181818182</v>
      </c>
      <c r="AK3" s="6" t="n">
        <f aca="false">VLOOKUP($F3,Category!$A$2:$AZ$20,21,0)</f>
        <v>0.727272727272727</v>
      </c>
      <c r="AL3" s="6" t="n">
        <f aca="false">VLOOKUP($E3,Role!$A$2:$O$9,7,0)</f>
        <v>0.6</v>
      </c>
      <c r="AM3" s="6" t="n">
        <f aca="false">VLOOKUP($F3,Category!$A$2:$AZ$20,19,0)</f>
        <v>0.181818181818182</v>
      </c>
      <c r="AN3" s="6" t="n">
        <f aca="false">VLOOKUP($F3,Category!$A$2:$AZ$20,21,0)</f>
        <v>0.727272727272727</v>
      </c>
      <c r="AO3" s="6" t="n">
        <f aca="false">VLOOKUP($E3,Role!$A$2:$O$9,5,0)</f>
        <v>0.6</v>
      </c>
      <c r="AP3" s="6" t="n">
        <f aca="false">VLOOKUP($F3,Category!$A$2:$AZ$20,9,0)</f>
        <v>0.222222222222222</v>
      </c>
      <c r="AQ3" s="6" t="n">
        <f aca="false">VLOOKUP($F3,Category!$A$2:$AZ$20,11,0)</f>
        <v>0.777777777777778</v>
      </c>
      <c r="AR3" s="6" t="n">
        <f aca="false">VLOOKUP($F3,Category!$A$2:$AZ$20,10,0)</f>
        <v>1</v>
      </c>
      <c r="AS3" s="6" t="n">
        <f aca="false">VLOOKUP($E3,Role!$A$2:$O$9,4,0)</f>
        <v>0.6</v>
      </c>
      <c r="AT3" s="7" t="n">
        <f aca="false">VLOOKUP($F3,Category!$A$2:$AZ$20,14,0)</f>
        <v>0.333333333333333</v>
      </c>
      <c r="AU3" s="7" t="n">
        <f aca="false">VLOOKUP($F3,Category!$A$2:$AZ$20,16,0)</f>
        <v>0.5</v>
      </c>
      <c r="AV3" s="7" t="n">
        <f aca="false">VLOOKUP($D3,Size!$A$2:$Z$14,17,0)</f>
        <v>3</v>
      </c>
      <c r="AW3" s="7" t="n">
        <f aca="false">VLOOKUP($E3,Role!$A$2:$O$9,3,0)</f>
        <v>0.6</v>
      </c>
      <c r="AX3" s="7" t="n">
        <f aca="false">VLOOKUP($F3,Category!$A$2:$AZ$20,29,0)</f>
        <v>0.333333333333333</v>
      </c>
      <c r="AY3" s="7" t="n">
        <f aca="false">VLOOKUP($F3,Category!$A$2:$AZ$20,31,0)</f>
        <v>0.444444444444444</v>
      </c>
      <c r="AZ3" s="7" t="n">
        <f aca="false">VLOOKUP($D3,Size!$A$2:$Z$14,16,0)</f>
        <v>3</v>
      </c>
      <c r="BA3" s="7" t="n">
        <f aca="false">VLOOKUP($E3,Role!$A$2:$O$9,2,0)</f>
        <v>1.2</v>
      </c>
      <c r="BC3" s="7" t="n">
        <f aca="false">VLOOKUP($D3,Size!$A$2:$Z$14,19,0)</f>
        <v>10</v>
      </c>
      <c r="BD3" s="7" t="n">
        <f aca="false">VLOOKUP($D3,Size!$A$2:$Z$14,20,0)</f>
        <v>1</v>
      </c>
      <c r="BE3" s="7" t="n">
        <f aca="false">VLOOKUP($E3,Role!$A$2:$O$9,12,0)</f>
        <v>2</v>
      </c>
      <c r="BF3" s="7" t="n">
        <f aca="false">VLOOKUP($C3,Type!$A$2:$B$4,2,0)</f>
        <v>1</v>
      </c>
      <c r="BG3" s="7" t="n">
        <f aca="false">VLOOKUP($D3,Size!$A$2:$Z$14,18,0)</f>
        <v>13</v>
      </c>
      <c r="BH3" s="7" t="n">
        <f aca="false">INT($BF3*$BG3*$BE3*$B3/2)</f>
        <v>26</v>
      </c>
      <c r="BI3" s="7" t="n">
        <f aca="false">INT(($BC3*$BF3)+($I3*$BD3))</f>
        <v>13</v>
      </c>
      <c r="BJ3" s="7" t="n">
        <f aca="false">INT((($I3*$BE3)+$BC3)*$BF3)</f>
        <v>16</v>
      </c>
      <c r="BK3" s="14"/>
      <c r="BL3" s="7" t="n">
        <f aca="false">VLOOKUP($E3,Role!$A$2:$O$9,13,0)</f>
        <v>1.5</v>
      </c>
      <c r="BM3" s="7" t="n">
        <f aca="false">VLOOKUP($E3,Role!$A$2:$O$9,11,0)</f>
        <v>1</v>
      </c>
      <c r="BO3" s="7" t="n">
        <f aca="false">VLOOKUP($E3,Role!$A$2:$O$9,8,0)</f>
        <v>1</v>
      </c>
      <c r="BP3" s="7" t="n">
        <f aca="false">VLOOKUP($E3,Role!$A$2:$O$9,9,0)</f>
        <v>0.5</v>
      </c>
      <c r="BQ3" s="7" t="n">
        <f aca="false">VLOOKUP($E3,Role!$A$2:$O$9,10,0)</f>
        <v>0.4</v>
      </c>
    </row>
    <row r="4" customFormat="false" ht="12.8" hidden="false" customHeight="false" outlineLevel="0" collapsed="false">
      <c r="B4" s="2" t="n">
        <v>2</v>
      </c>
      <c r="C4" s="3" t="s">
        <v>63</v>
      </c>
      <c r="D4" s="1" t="s">
        <v>64</v>
      </c>
      <c r="E4" s="1" t="s">
        <v>69</v>
      </c>
      <c r="F4" s="1" t="s">
        <v>68</v>
      </c>
      <c r="G4" s="1" t="s">
        <v>67</v>
      </c>
      <c r="H4" s="4" t="n">
        <f aca="false">VLOOKUP($D4,Size!$A$2:$Z$14,6,0)</f>
        <v>1</v>
      </c>
      <c r="I4" s="13" t="n">
        <f aca="false">INT(($B4*$AZ4*$AX4*$BA4)+($B4*$AY4))</f>
        <v>2</v>
      </c>
      <c r="J4" s="4" t="n">
        <f aca="false">ROUND((($B4*$AT4)+($AV4*$AU4))*$AW4,0)</f>
        <v>2</v>
      </c>
      <c r="K4" s="4" t="n">
        <f aca="false">ROUND((($B4*$AP4)+($B4*$AQ4))*$AS4,0)</f>
        <v>2</v>
      </c>
      <c r="L4" s="4" t="n">
        <f aca="false">ROUND((($B4*$AM4)+($B4*$AN4))*$AO4,0)</f>
        <v>2</v>
      </c>
      <c r="M4" s="4" t="n">
        <f aca="false">ROUND((($B4*$AG4)+($B4*$AH4))*$AI4,0)</f>
        <v>2</v>
      </c>
      <c r="N4" s="4" t="n">
        <f aca="false">ROUND((($B4*$AJ4)+($B4*$AK4))*$AL4,0)</f>
        <v>2</v>
      </c>
      <c r="O4" s="4" t="n">
        <f aca="false">INT($BO4*$B4)</f>
        <v>1</v>
      </c>
      <c r="P4" s="4" t="n">
        <f aca="false">INT($BP4*$B4)</f>
        <v>1</v>
      </c>
      <c r="Q4" s="4" t="n">
        <f aca="false">INT($BQ4*$B4*$AR4)</f>
        <v>2</v>
      </c>
      <c r="R4" s="4" t="n">
        <f aca="false">IF($R$1="WT/G",INT(POWER($BH4*$BJ4*$BI4,0.333333)),0)+IF($R$1="WT/A",INT(($BH4+$BJ4+$BI4)/3),0)+IF($R$1="WT/A2",INT(($BJ4+$BI4)/2),0)+IF($R$1="WT/W",INT(($BH4+$BJ4+$BJ4+$BI4)/4),0)+IF($R$1="WT/W2",INT(($BH4+$BJ4+$BI4+$BI4)/4),0)+IF($R$1="WT/N",INT(MIN($BH4,$BJ4,$BI4)),0)+IF($R$1="WT/M",INT(MAX($BH4,$BJ4,$BI4)),0)+IF($R$1="WT/1",INT($BH4),0)+IF($R$1="WT/2",INT($BI4),0)+IF($R$1="WT/3",INT($BJ4),0)</f>
        <v>13</v>
      </c>
      <c r="S4" s="4" t="n">
        <f aca="false">INT((10+$M4)*$BL4)</f>
        <v>12</v>
      </c>
      <c r="T4" s="4" t="n">
        <f aca="false">INT($I4*$BM4*$BF4)</f>
        <v>0</v>
      </c>
      <c r="U4" s="2" t="n">
        <f aca="false">ROUND(MAX($J4,$L4)+(MIN($J4,$L4)*$X4),0)</f>
        <v>3</v>
      </c>
      <c r="V4" s="2" t="n">
        <f aca="false">MAX(1,INT(((MIN($I4:$J4)+(MAX($I4:$J4)*$H4*$Y4)))*$Z4))</f>
        <v>4</v>
      </c>
      <c r="X4" s="5" t="n">
        <f aca="false">VLOOKUP($E4,Role!$A$2:$O$9,14,0)</f>
        <v>0.5</v>
      </c>
      <c r="Y4" s="5" t="n">
        <f aca="false">VLOOKUP($E4,Role!$A$2:$O$9,15,0)</f>
        <v>1</v>
      </c>
      <c r="Z4" s="5" t="n">
        <f aca="false">VLOOKUP($G4,Movement!$A$2:$C$7,3,0)</f>
        <v>1</v>
      </c>
      <c r="AB4" s="5" t="n">
        <f aca="false">INT(5+(($H4-1)/3))</f>
        <v>5</v>
      </c>
      <c r="AC4" s="5" t="n">
        <f aca="false">IF($AB4&lt;$I4,$I4-MAX($AB4,$B4),0)</f>
        <v>0</v>
      </c>
      <c r="AD4" s="5" t="n">
        <f aca="false">(5-ROUND(($H4-1)/3,0))</f>
        <v>5</v>
      </c>
      <c r="AE4" s="5" t="n">
        <f aca="false">IF($AD4&lt;$J4,$J4-MAX($AD4,$B4),0)</f>
        <v>0</v>
      </c>
      <c r="AG4" s="6" t="n">
        <f aca="false">VLOOKUP($F4,Category!$A$2:$AZ$20,24,0)</f>
        <v>0.222222222222222</v>
      </c>
      <c r="AH4" s="6" t="n">
        <f aca="false">VLOOKUP($F4,Category!$A$2:$AZ$20,26,0)</f>
        <v>0.666666666666667</v>
      </c>
      <c r="AI4" s="6" t="n">
        <f aca="false">VLOOKUP($E4,Role!$A$2:$O$9,6,0)</f>
        <v>1</v>
      </c>
      <c r="AJ4" s="6" t="n">
        <f aca="false">VLOOKUP($F4,Category!$A$2:$AZ$20,19,0)</f>
        <v>0.181818181818182</v>
      </c>
      <c r="AK4" s="6" t="n">
        <f aca="false">VLOOKUP($F4,Category!$A$2:$AZ$20,21,0)</f>
        <v>0.727272727272727</v>
      </c>
      <c r="AL4" s="6" t="n">
        <f aca="false">VLOOKUP($E4,Role!$A$2:$O$9,7,0)</f>
        <v>1</v>
      </c>
      <c r="AM4" s="6" t="n">
        <f aca="false">VLOOKUP($F4,Category!$A$2:$AZ$20,19,0)</f>
        <v>0.181818181818182</v>
      </c>
      <c r="AN4" s="6" t="n">
        <f aca="false">VLOOKUP($F4,Category!$A$2:$AZ$20,21,0)</f>
        <v>0.727272727272727</v>
      </c>
      <c r="AO4" s="6" t="n">
        <f aca="false">VLOOKUP($E4,Role!$A$2:$O$9,5,0)</f>
        <v>1.2</v>
      </c>
      <c r="AP4" s="6" t="n">
        <f aca="false">VLOOKUP($F4,Category!$A$2:$AZ$20,9,0)</f>
        <v>0.222222222222222</v>
      </c>
      <c r="AQ4" s="6" t="n">
        <f aca="false">VLOOKUP($F4,Category!$A$2:$AZ$20,11,0)</f>
        <v>0.777777777777778</v>
      </c>
      <c r="AR4" s="6" t="n">
        <f aca="false">VLOOKUP($F4,Category!$A$2:$AZ$20,10,0)</f>
        <v>1</v>
      </c>
      <c r="AS4" s="6" t="n">
        <f aca="false">VLOOKUP($E4,Role!$A$2:$O$9,4,0)</f>
        <v>1</v>
      </c>
      <c r="AT4" s="7" t="n">
        <f aca="false">VLOOKUP($F4,Category!$A$2:$AZ$20,14,0)</f>
        <v>0.333333333333333</v>
      </c>
      <c r="AU4" s="7" t="n">
        <f aca="false">VLOOKUP($F4,Category!$A$2:$AZ$20,16,0)</f>
        <v>0.5</v>
      </c>
      <c r="AV4" s="7" t="n">
        <f aca="false">VLOOKUP($D4,Size!$A$2:$Z$14,17,0)</f>
        <v>3</v>
      </c>
      <c r="AW4" s="7" t="n">
        <f aca="false">VLOOKUP($E4,Role!$A$2:$O$9,3,0)</f>
        <v>1</v>
      </c>
      <c r="AX4" s="7" t="n">
        <f aca="false">VLOOKUP($F4,Category!$A$2:$AZ$20,29,0)</f>
        <v>0.333333333333333</v>
      </c>
      <c r="AY4" s="7" t="n">
        <f aca="false">VLOOKUP($F4,Category!$A$2:$AZ$20,31,0)</f>
        <v>0.444444444444444</v>
      </c>
      <c r="AZ4" s="7" t="n">
        <f aca="false">VLOOKUP($D4,Size!$A$2:$Z$14,16,0)</f>
        <v>3</v>
      </c>
      <c r="BA4" s="7" t="n">
        <f aca="false">VLOOKUP($E4,Role!$A$2:$O$9,2,0)</f>
        <v>0.6</v>
      </c>
      <c r="BC4" s="7" t="n">
        <f aca="false">VLOOKUP($D4,Size!$A$2:$Z$14,19,0)</f>
        <v>10</v>
      </c>
      <c r="BD4" s="7" t="n">
        <f aca="false">VLOOKUP($D4,Size!$A$2:$Z$14,20,0)</f>
        <v>1</v>
      </c>
      <c r="BE4" s="7" t="n">
        <f aca="false">VLOOKUP($E4,Role!$A$2:$O$9,12,0)</f>
        <v>1.25</v>
      </c>
      <c r="BF4" s="7" t="n">
        <f aca="false">VLOOKUP($C4,Type!$A$2:$B$4,2,0)</f>
        <v>1</v>
      </c>
      <c r="BG4" s="7" t="n">
        <f aca="false">VLOOKUP($D4,Size!$A$2:$Z$14,18,0)</f>
        <v>13</v>
      </c>
      <c r="BH4" s="7" t="n">
        <f aca="false">INT($BF4*$BG4*$BE4*$B4/2)</f>
        <v>16</v>
      </c>
      <c r="BI4" s="7" t="n">
        <f aca="false">INT(($BC4*$BF4)+($I4*$BD4))</f>
        <v>12</v>
      </c>
      <c r="BJ4" s="7" t="n">
        <f aca="false">INT((($I4*$BE4)+$BC4)*$BF4)</f>
        <v>12</v>
      </c>
      <c r="BK4" s="14"/>
      <c r="BL4" s="7" t="n">
        <f aca="false">VLOOKUP($E4,Role!$A$2:$O$9,13,0)</f>
        <v>1</v>
      </c>
      <c r="BM4" s="7" t="n">
        <f aca="false">VLOOKUP($E4,Role!$A$2:$O$9,11,0)</f>
        <v>0.333</v>
      </c>
      <c r="BO4" s="7" t="n">
        <f aca="false">VLOOKUP($E4,Role!$A$2:$O$9,8,0)</f>
        <v>0.5</v>
      </c>
      <c r="BP4" s="7" t="n">
        <f aca="false">VLOOKUP($E4,Role!$A$2:$O$9,9,0)</f>
        <v>0.75</v>
      </c>
      <c r="BQ4" s="7" t="n">
        <f aca="false">VLOOKUP($E4,Role!$A$2:$O$9,10,0)</f>
        <v>1</v>
      </c>
    </row>
    <row r="5" customFormat="false" ht="12.8" hidden="false" customHeight="false" outlineLevel="0" collapsed="false">
      <c r="B5" s="2" t="n">
        <v>2</v>
      </c>
      <c r="C5" s="3" t="s">
        <v>63</v>
      </c>
      <c r="D5" s="1" t="s">
        <v>64</v>
      </c>
      <c r="E5" s="1" t="s">
        <v>70</v>
      </c>
      <c r="F5" s="1" t="s">
        <v>68</v>
      </c>
      <c r="G5" s="1" t="s">
        <v>67</v>
      </c>
      <c r="H5" s="4" t="n">
        <f aca="false">VLOOKUP($D5,Size!$A$2:$Z$14,6,0)</f>
        <v>1</v>
      </c>
      <c r="I5" s="13" t="n">
        <f aca="false">INT(($B5*$AZ5*$AX5*$BA5)+($B5*$AY5))</f>
        <v>2</v>
      </c>
      <c r="J5" s="4" t="n">
        <f aca="false">ROUND((($B5*$AT5)+($AV5*$AU5))*$AW5,0)</f>
        <v>1</v>
      </c>
      <c r="K5" s="4" t="n">
        <f aca="false">ROUND((($B5*$AP5)+($B5*$AQ5))*$AS5,0)</f>
        <v>1</v>
      </c>
      <c r="L5" s="4" t="n">
        <f aca="false">ROUND((($B5*$AM5)+($B5*$AN5))*$AO5,0)</f>
        <v>1</v>
      </c>
      <c r="M5" s="4" t="n">
        <f aca="false">ROUND((($B5*$AG5)+($B5*$AH5))*$AI5,0)</f>
        <v>1</v>
      </c>
      <c r="N5" s="4" t="n">
        <f aca="false">ROUND((($B5*$AJ5)+($B5*$AK5))*$AL5,0)</f>
        <v>1</v>
      </c>
      <c r="O5" s="4" t="n">
        <f aca="false">INT($BO5*$B5)</f>
        <v>1</v>
      </c>
      <c r="P5" s="4" t="n">
        <f aca="false">INT($BP5*$B5)</f>
        <v>1</v>
      </c>
      <c r="Q5" s="4" t="n">
        <f aca="false">INT($BQ5*$B5*$AR5)</f>
        <v>1</v>
      </c>
      <c r="R5" s="4" t="n">
        <f aca="false">IF($R$1="WT/G",INT(POWER($BH5*$BJ5*$BI5,0.333333)),0)+IF($R$1="WT/A",INT(($BH5+$BJ5+$BI5)/3),0)+IF($R$1="WT/A2",INT(($BJ5+$BI5)/2),0)+IF($R$1="WT/W",INT(($BH5+$BJ5+$BJ5+$BI5)/4),0)+IF($R$1="WT/W2",INT(($BH5+$BJ5+$BI5+$BI5)/4),0)+IF($R$1="WT/N",INT(MIN($BH5,$BJ5,$BI5)),0)+IF($R$1="WT/M",INT(MAX($BH5,$BJ5,$BI5)),0)+IF($R$1="WT/1",INT($BH5),0)+IF($R$1="WT/2",INT($BI5),0)+IF($R$1="WT/3",INT($BJ5),0)</f>
        <v>13</v>
      </c>
      <c r="S5" s="4" t="n">
        <f aca="false">INT((10+$M5)*$BL5)</f>
        <v>13</v>
      </c>
      <c r="T5" s="4" t="n">
        <f aca="false">INT($I5*$BM5*$BF5)</f>
        <v>1</v>
      </c>
      <c r="U5" s="2" t="n">
        <f aca="false">ROUND(MAX($J5,$L5)+(MIN($J5,$L5)*$X5),0)</f>
        <v>2</v>
      </c>
      <c r="V5" s="2" t="n">
        <f aca="false">MAX(1,INT(((MIN($I5:$J5)+(MAX($I5:$J5)*$H5*$Y5)))*$Z5))</f>
        <v>3</v>
      </c>
      <c r="X5" s="5" t="n">
        <f aca="false">VLOOKUP($E5,Role!$A$2:$O$9,14,0)</f>
        <v>1</v>
      </c>
      <c r="Y5" s="5" t="n">
        <f aca="false">VLOOKUP($E5,Role!$A$2:$O$9,15,0)</f>
        <v>1</v>
      </c>
      <c r="Z5" s="5" t="n">
        <f aca="false">VLOOKUP($G5,Movement!$A$2:$C$7,3,0)</f>
        <v>1</v>
      </c>
      <c r="AB5" s="5" t="n">
        <f aca="false">INT(5+(($H5-1)/3))</f>
        <v>5</v>
      </c>
      <c r="AC5" s="5" t="n">
        <f aca="false">IF($AB5&lt;$I5,$I5-MAX($AB5,$B5),0)</f>
        <v>0</v>
      </c>
      <c r="AD5" s="5" t="n">
        <f aca="false">(5-ROUND(($H5-1)/3,0))</f>
        <v>5</v>
      </c>
      <c r="AE5" s="5" t="n">
        <f aca="false">IF($AD5&lt;$J5,$J5-MAX($AD5,$B5),0)</f>
        <v>0</v>
      </c>
      <c r="AG5" s="6" t="n">
        <f aca="false">VLOOKUP($F5,Category!$A$2:$AZ$20,24,0)</f>
        <v>0.222222222222222</v>
      </c>
      <c r="AH5" s="6" t="n">
        <f aca="false">VLOOKUP($F5,Category!$A$2:$AZ$20,26,0)</f>
        <v>0.666666666666667</v>
      </c>
      <c r="AI5" s="6" t="n">
        <f aca="false">VLOOKUP($E5,Role!$A$2:$O$9,6,0)</f>
        <v>0.666</v>
      </c>
      <c r="AJ5" s="6" t="n">
        <f aca="false">VLOOKUP($F5,Category!$A$2:$AZ$20,19,0)</f>
        <v>0.181818181818182</v>
      </c>
      <c r="AK5" s="6" t="n">
        <f aca="false">VLOOKUP($F5,Category!$A$2:$AZ$20,21,0)</f>
        <v>0.727272727272727</v>
      </c>
      <c r="AL5" s="6" t="n">
        <f aca="false">VLOOKUP($E5,Role!$A$2:$O$9,7,0)</f>
        <v>0.666</v>
      </c>
      <c r="AM5" s="6" t="n">
        <f aca="false">VLOOKUP($F5,Category!$A$2:$AZ$20,19,0)</f>
        <v>0.181818181818182</v>
      </c>
      <c r="AN5" s="6" t="n">
        <f aca="false">VLOOKUP($F5,Category!$A$2:$AZ$20,21,0)</f>
        <v>0.727272727272727</v>
      </c>
      <c r="AO5" s="6" t="n">
        <f aca="false">VLOOKUP($E5,Role!$A$2:$O$9,5,0)</f>
        <v>0.666</v>
      </c>
      <c r="AP5" s="6" t="n">
        <f aca="false">VLOOKUP($F5,Category!$A$2:$AZ$20,9,0)</f>
        <v>0.222222222222222</v>
      </c>
      <c r="AQ5" s="6" t="n">
        <f aca="false">VLOOKUP($F5,Category!$A$2:$AZ$20,11,0)</f>
        <v>0.777777777777778</v>
      </c>
      <c r="AR5" s="6" t="n">
        <f aca="false">VLOOKUP($F5,Category!$A$2:$AZ$20,10,0)</f>
        <v>1</v>
      </c>
      <c r="AS5" s="6" t="n">
        <f aca="false">VLOOKUP($E5,Role!$A$2:$O$9,4,0)</f>
        <v>0.666</v>
      </c>
      <c r="AT5" s="7" t="n">
        <f aca="false">VLOOKUP($F5,Category!$A$2:$AZ$20,14,0)</f>
        <v>0.333333333333333</v>
      </c>
      <c r="AU5" s="7" t="n">
        <f aca="false">VLOOKUP($F5,Category!$A$2:$AZ$20,16,0)</f>
        <v>0.5</v>
      </c>
      <c r="AV5" s="7" t="n">
        <f aca="false">VLOOKUP($D5,Size!$A$2:$Z$14,17,0)</f>
        <v>3</v>
      </c>
      <c r="AW5" s="7" t="n">
        <f aca="false">VLOOKUP($E5,Role!$A$2:$O$9,3,0)</f>
        <v>0.666</v>
      </c>
      <c r="AX5" s="7" t="n">
        <f aca="false">VLOOKUP($F5,Category!$A$2:$AZ$20,29,0)</f>
        <v>0.333333333333333</v>
      </c>
      <c r="AY5" s="7" t="n">
        <f aca="false">VLOOKUP($F5,Category!$A$2:$AZ$20,31,0)</f>
        <v>0.444444444444444</v>
      </c>
      <c r="AZ5" s="7" t="n">
        <f aca="false">VLOOKUP($D5,Size!$A$2:$Z$14,16,0)</f>
        <v>3</v>
      </c>
      <c r="BA5" s="7" t="n">
        <f aca="false">VLOOKUP($E5,Role!$A$2:$O$9,2,0)</f>
        <v>0.666</v>
      </c>
      <c r="BC5" s="7" t="n">
        <f aca="false">VLOOKUP($D5,Size!$A$2:$Z$14,19,0)</f>
        <v>10</v>
      </c>
      <c r="BD5" s="7" t="n">
        <f aca="false">VLOOKUP($D5,Size!$A$2:$Z$14,20,0)</f>
        <v>1</v>
      </c>
      <c r="BE5" s="7" t="n">
        <f aca="false">VLOOKUP($E5,Role!$A$2:$O$9,12,0)</f>
        <v>1.25</v>
      </c>
      <c r="BF5" s="7" t="n">
        <f aca="false">VLOOKUP($C5,Type!$A$2:$B$4,2,0)</f>
        <v>1</v>
      </c>
      <c r="BG5" s="7" t="n">
        <f aca="false">VLOOKUP($D5,Size!$A$2:$Z$14,18,0)</f>
        <v>13</v>
      </c>
      <c r="BH5" s="7" t="n">
        <f aca="false">INT($BF5*$BG5*$BE5*$B5/2)</f>
        <v>16</v>
      </c>
      <c r="BI5" s="7" t="n">
        <f aca="false">INT(($BC5*$BF5)+($I5*$BD5))</f>
        <v>12</v>
      </c>
      <c r="BJ5" s="7" t="n">
        <f aca="false">INT((($I5*$BE5)+$BC5)*$BF5)</f>
        <v>12</v>
      </c>
      <c r="BK5" s="14"/>
      <c r="BL5" s="7" t="n">
        <f aca="false">VLOOKUP($E5,Role!$A$2:$O$9,13,0)</f>
        <v>1.25</v>
      </c>
      <c r="BM5" s="7" t="n">
        <f aca="false">VLOOKUP($E5,Role!$A$2:$O$9,11,0)</f>
        <v>0.666</v>
      </c>
      <c r="BO5" s="7" t="n">
        <f aca="false">VLOOKUP($E5,Role!$A$2:$O$9,8,0)</f>
        <v>0.75</v>
      </c>
      <c r="BP5" s="7" t="n">
        <f aca="false">VLOOKUP($E5,Role!$A$2:$O$9,9,0)</f>
        <v>0.75</v>
      </c>
      <c r="BQ5" s="7" t="n">
        <f aca="false">VLOOKUP($E5,Role!$A$2:$O$9,10,0)</f>
        <v>0.5</v>
      </c>
    </row>
    <row r="6" customFormat="false" ht="12.8" hidden="false" customHeight="false" outlineLevel="0" collapsed="false">
      <c r="B6" s="2" t="n">
        <v>2</v>
      </c>
      <c r="C6" s="3" t="s">
        <v>63</v>
      </c>
      <c r="D6" s="1" t="s">
        <v>64</v>
      </c>
      <c r="E6" s="1" t="s">
        <v>71</v>
      </c>
      <c r="F6" s="1" t="s">
        <v>68</v>
      </c>
      <c r="G6" s="1" t="s">
        <v>67</v>
      </c>
      <c r="H6" s="4" t="n">
        <f aca="false">VLOOKUP($D6,Size!$A$2:$Z$14,6,0)</f>
        <v>1</v>
      </c>
      <c r="I6" s="13" t="n">
        <f aca="false">INT(($B6*$AZ6*$AX6*$BA6)+($B6*$AY6))</f>
        <v>2</v>
      </c>
      <c r="J6" s="4" t="n">
        <f aca="false">ROUND((($B6*$AT6)+($AV6*$AU6))*$AW6,0)</f>
        <v>3</v>
      </c>
      <c r="K6" s="4" t="n">
        <f aca="false">ROUND((($B6*$AP6)+($B6*$AQ6))*$AS6,0)</f>
        <v>2</v>
      </c>
      <c r="L6" s="4" t="n">
        <f aca="false">ROUND((($B6*$AM6)+($B6*$AN6))*$AO6,0)</f>
        <v>2</v>
      </c>
      <c r="M6" s="4" t="n">
        <f aca="false">ROUND((($B6*$AG6)+($B6*$AH6))*$AI6,0)</f>
        <v>2</v>
      </c>
      <c r="N6" s="4" t="n">
        <f aca="false">ROUND((($B6*$AJ6)+($B6*$AK6))*$AL6,0)</f>
        <v>2</v>
      </c>
      <c r="O6" s="4" t="n">
        <f aca="false">INT($BO6*$B6)</f>
        <v>2</v>
      </c>
      <c r="P6" s="4" t="n">
        <f aca="false">INT($BP6*$B6)</f>
        <v>1</v>
      </c>
      <c r="Q6" s="4" t="n">
        <f aca="false">INT($BQ6*$B6*$AR6)</f>
        <v>1</v>
      </c>
      <c r="R6" s="4" t="n">
        <f aca="false">IF($R$1="WT/G",INT(POWER($BH6*$BJ6*$BI6,0.333333)),0)+IF($R$1="WT/A",INT(($BH6+$BJ6+$BI6)/3),0)+IF($R$1="WT/A2",INT(($BJ6+$BI6)/2),0)+IF($R$1="WT/W",INT(($BH6+$BJ6+$BJ6+$BI6)/4),0)+IF($R$1="WT/W2",INT(($BH6+$BJ6+$BI6+$BI6)/4),0)+IF($R$1="WT/N",INT(MIN($BH6,$BJ6,$BI6)),0)+IF($R$1="WT/M",INT(MAX($BH6,$BJ6,$BI6)),0)+IF($R$1="WT/1",INT($BH6),0)+IF($R$1="WT/2",INT($BI6),0)+IF($R$1="WT/3",INT($BJ6),0)</f>
        <v>14</v>
      </c>
      <c r="S6" s="4" t="n">
        <f aca="false">INT((10+$M6)*$BL6)</f>
        <v>15</v>
      </c>
      <c r="T6" s="4" t="n">
        <f aca="false">INT($I6*$BM6*$BF6)</f>
        <v>1</v>
      </c>
      <c r="U6" s="2" t="n">
        <f aca="false">ROUND(MAX($J6,$L6)+(MIN($J6,$L6)*$X6),0)</f>
        <v>5</v>
      </c>
      <c r="V6" s="2" t="n">
        <f aca="false">MAX(1,INT(((MIN($I6:$J6)+(MAX($I6:$J6)*$H6*$Y6)))*$Z6))</f>
        <v>6</v>
      </c>
      <c r="X6" s="5" t="n">
        <f aca="false">VLOOKUP($E6,Role!$A$2:$O$9,14,0)</f>
        <v>1</v>
      </c>
      <c r="Y6" s="5" t="n">
        <f aca="false">VLOOKUP($E6,Role!$A$2:$O$9,15,0)</f>
        <v>1.5</v>
      </c>
      <c r="Z6" s="5" t="n">
        <f aca="false">VLOOKUP($G6,Movement!$A$2:$C$7,3,0)</f>
        <v>1</v>
      </c>
      <c r="AB6" s="5" t="n">
        <f aca="false">INT(5+(($H6-1)/3))</f>
        <v>5</v>
      </c>
      <c r="AC6" s="5" t="n">
        <f aca="false">IF($AB6&lt;$I6,$I6-MAX($AB6,$B6),0)</f>
        <v>0</v>
      </c>
      <c r="AD6" s="5" t="n">
        <f aca="false">(5-ROUND(($H6-1)/3,0))</f>
        <v>5</v>
      </c>
      <c r="AE6" s="5" t="n">
        <f aca="false">IF($AD6&lt;$J6,$J6-MAX($AD6,$B6),0)</f>
        <v>0</v>
      </c>
      <c r="AG6" s="6" t="n">
        <f aca="false">VLOOKUP($F6,Category!$A$2:$AZ$20,24,0)</f>
        <v>0.222222222222222</v>
      </c>
      <c r="AH6" s="6" t="n">
        <f aca="false">VLOOKUP($F6,Category!$A$2:$AZ$20,26,0)</f>
        <v>0.666666666666667</v>
      </c>
      <c r="AI6" s="6" t="n">
        <f aca="false">VLOOKUP($E6,Role!$A$2:$O$9,6,0)</f>
        <v>1</v>
      </c>
      <c r="AJ6" s="6" t="n">
        <f aca="false">VLOOKUP($F6,Category!$A$2:$AZ$20,19,0)</f>
        <v>0.181818181818182</v>
      </c>
      <c r="AK6" s="6" t="n">
        <f aca="false">VLOOKUP($F6,Category!$A$2:$AZ$20,21,0)</f>
        <v>0.727272727272727</v>
      </c>
      <c r="AL6" s="6" t="n">
        <f aca="false">VLOOKUP($E6,Role!$A$2:$O$9,7,0)</f>
        <v>1</v>
      </c>
      <c r="AM6" s="6" t="n">
        <f aca="false">VLOOKUP($F6,Category!$A$2:$AZ$20,19,0)</f>
        <v>0.181818181818182</v>
      </c>
      <c r="AN6" s="6" t="n">
        <f aca="false">VLOOKUP($F6,Category!$A$2:$AZ$20,21,0)</f>
        <v>0.727272727272727</v>
      </c>
      <c r="AO6" s="6" t="n">
        <f aca="false">VLOOKUP($E6,Role!$A$2:$O$9,5,0)</f>
        <v>1</v>
      </c>
      <c r="AP6" s="6" t="n">
        <f aca="false">VLOOKUP($F6,Category!$A$2:$AZ$20,9,0)</f>
        <v>0.222222222222222</v>
      </c>
      <c r="AQ6" s="6" t="n">
        <f aca="false">VLOOKUP($F6,Category!$A$2:$AZ$20,11,0)</f>
        <v>0.777777777777778</v>
      </c>
      <c r="AR6" s="6" t="n">
        <f aca="false">VLOOKUP($F6,Category!$A$2:$AZ$20,10,0)</f>
        <v>1</v>
      </c>
      <c r="AS6" s="6" t="n">
        <f aca="false">VLOOKUP($E6,Role!$A$2:$O$9,4,0)</f>
        <v>1</v>
      </c>
      <c r="AT6" s="7" t="n">
        <f aca="false">VLOOKUP($F6,Category!$A$2:$AZ$20,14,0)</f>
        <v>0.333333333333333</v>
      </c>
      <c r="AU6" s="7" t="n">
        <f aca="false">VLOOKUP($F6,Category!$A$2:$AZ$20,16,0)</f>
        <v>0.5</v>
      </c>
      <c r="AV6" s="7" t="n">
        <f aca="false">VLOOKUP($D6,Size!$A$2:$Z$14,17,0)</f>
        <v>3</v>
      </c>
      <c r="AW6" s="7" t="n">
        <f aca="false">VLOOKUP($E6,Role!$A$2:$O$9,3,0)</f>
        <v>1.2</v>
      </c>
      <c r="AX6" s="7" t="n">
        <f aca="false">VLOOKUP($F6,Category!$A$2:$AZ$20,29,0)</f>
        <v>0.333333333333333</v>
      </c>
      <c r="AY6" s="7" t="n">
        <f aca="false">VLOOKUP($F6,Category!$A$2:$AZ$20,31,0)</f>
        <v>0.444444444444444</v>
      </c>
      <c r="AZ6" s="7" t="n">
        <f aca="false">VLOOKUP($D6,Size!$A$2:$Z$14,16,0)</f>
        <v>3</v>
      </c>
      <c r="BA6" s="7" t="n">
        <f aca="false">VLOOKUP($E6,Role!$A$2:$O$9,2,0)</f>
        <v>1</v>
      </c>
      <c r="BC6" s="7" t="n">
        <f aca="false">VLOOKUP($D6,Size!$A$2:$Z$14,19,0)</f>
        <v>10</v>
      </c>
      <c r="BD6" s="7" t="n">
        <f aca="false">VLOOKUP($D6,Size!$A$2:$Z$14,20,0)</f>
        <v>1</v>
      </c>
      <c r="BE6" s="7" t="n">
        <f aca="false">VLOOKUP($E6,Role!$A$2:$O$9,12,0)</f>
        <v>1.5</v>
      </c>
      <c r="BF6" s="7" t="n">
        <f aca="false">VLOOKUP($C6,Type!$A$2:$B$4,2,0)</f>
        <v>1</v>
      </c>
      <c r="BG6" s="7" t="n">
        <f aca="false">VLOOKUP($D6,Size!$A$2:$Z$14,18,0)</f>
        <v>13</v>
      </c>
      <c r="BH6" s="7" t="n">
        <f aca="false">INT($BF6*$BG6*$BE6*$B6/2)</f>
        <v>19</v>
      </c>
      <c r="BI6" s="7" t="n">
        <f aca="false">INT(($BC6*$BF6)+($I6*$BD6))</f>
        <v>12</v>
      </c>
      <c r="BJ6" s="7" t="n">
        <f aca="false">INT((($I6*$BE6)+$BC6)*$BF6)</f>
        <v>13</v>
      </c>
      <c r="BK6" s="14"/>
      <c r="BL6" s="7" t="n">
        <f aca="false">VLOOKUP($E6,Role!$A$2:$O$9,13,0)</f>
        <v>1.25</v>
      </c>
      <c r="BM6" s="7" t="n">
        <f aca="false">VLOOKUP($E6,Role!$A$2:$O$9,11,0)</f>
        <v>0.666</v>
      </c>
      <c r="BO6" s="7" t="n">
        <f aca="false">VLOOKUP($E6,Role!$A$2:$O$9,8,0)</f>
        <v>1</v>
      </c>
      <c r="BP6" s="7" t="n">
        <f aca="false">VLOOKUP($E6,Role!$A$2:$O$9,9,0)</f>
        <v>0.75</v>
      </c>
      <c r="BQ6" s="7" t="n">
        <f aca="false">VLOOKUP($E6,Role!$A$2:$O$9,10,0)</f>
        <v>0.9</v>
      </c>
    </row>
    <row r="7" customFormat="false" ht="12.8" hidden="false" customHeight="false" outlineLevel="0" collapsed="false">
      <c r="B7" s="2" t="n">
        <v>2</v>
      </c>
      <c r="C7" s="3" t="s">
        <v>63</v>
      </c>
      <c r="D7" s="1" t="s">
        <v>64</v>
      </c>
      <c r="E7" s="1" t="s">
        <v>72</v>
      </c>
      <c r="F7" s="1" t="s">
        <v>68</v>
      </c>
      <c r="G7" s="1" t="s">
        <v>67</v>
      </c>
      <c r="H7" s="4" t="n">
        <f aca="false">VLOOKUP($D7,Size!$A$2:$Z$14,6,0)</f>
        <v>1</v>
      </c>
      <c r="I7" s="13" t="n">
        <f aca="false">INT(($B7*$AZ7*$AX7*$BA7)+($B7*$AY7))</f>
        <v>2</v>
      </c>
      <c r="J7" s="4" t="n">
        <f aca="false">ROUND((($B7*$AT7)+($AV7*$AU7))*$AW7,0)</f>
        <v>2</v>
      </c>
      <c r="K7" s="4" t="n">
        <f aca="false">ROUND((($B7*$AP7)+($B7*$AQ7))*$AS7,0)</f>
        <v>2</v>
      </c>
      <c r="L7" s="4" t="n">
        <f aca="false">ROUND((($B7*$AM7)+($B7*$AN7))*$AO7,0)</f>
        <v>2</v>
      </c>
      <c r="M7" s="4" t="n">
        <f aca="false">ROUND((($B7*$AG7)+($B7*$AH7))*$AI7,0)</f>
        <v>1</v>
      </c>
      <c r="N7" s="4" t="n">
        <f aca="false">ROUND((($B7*$AJ7)+($B7*$AK7))*$AL7,0)</f>
        <v>2</v>
      </c>
      <c r="O7" s="4" t="n">
        <f aca="false">INT($BO7*$B7)</f>
        <v>1</v>
      </c>
      <c r="P7" s="4" t="n">
        <f aca="false">INT($BP7*$B7)</f>
        <v>2</v>
      </c>
      <c r="Q7" s="4" t="n">
        <f aca="false">INT($BQ7*$B7*$AR7)</f>
        <v>1</v>
      </c>
      <c r="R7" s="4" t="n">
        <f aca="false">IF($R$1="WT/G",INT(POWER($BH7*$BJ7*$BI7,0.333333)),0)+IF($R$1="WT/A",INT(($BH7+$BJ7+$BI7)/3),0)+IF($R$1="WT/A2",INT(($BJ7+$BI7)/2),0)+IF($R$1="WT/W",INT(($BH7+$BJ7+$BJ7+$BI7)/4),0)+IF($R$1="WT/W2",INT(($BH7+$BJ7+$BI7+$BI7)/4),0)+IF($R$1="WT/N",INT(MIN($BH7,$BJ7,$BI7)),0)+IF($R$1="WT/M",INT(MAX($BH7,$BJ7,$BI7)),0)+IF($R$1="WT/1",INT($BH7),0)+IF($R$1="WT/2",INT($BI7),0)+IF($R$1="WT/3",INT($BJ7),0)</f>
        <v>13</v>
      </c>
      <c r="S7" s="4" t="n">
        <f aca="false">INT((10+$M7)*$BL7)</f>
        <v>13</v>
      </c>
      <c r="T7" s="4" t="n">
        <f aca="false">INT($I7*$BM7*$BF7)</f>
        <v>0</v>
      </c>
      <c r="U7" s="2" t="n">
        <f aca="false">ROUND(MAX($J7,$L7)+(MIN($J7,$L7)*$X7),0)</f>
        <v>4</v>
      </c>
      <c r="V7" s="2" t="n">
        <f aca="false">MAX(1,INT(((MIN($I7:$J7)+(MAX($I7:$J7)*$H7*$Y7)))*$Z7))</f>
        <v>5</v>
      </c>
      <c r="X7" s="5" t="n">
        <f aca="false">VLOOKUP($E7,Role!$A$2:$O$9,14,0)</f>
        <v>0.75</v>
      </c>
      <c r="Y7" s="5" t="n">
        <f aca="false">VLOOKUP($E7,Role!$A$2:$O$9,15,0)</f>
        <v>1.5</v>
      </c>
      <c r="Z7" s="5" t="n">
        <f aca="false">VLOOKUP($G7,Movement!$A$2:$C$7,3,0)</f>
        <v>1</v>
      </c>
      <c r="AB7" s="5" t="n">
        <f aca="false">INT(5+(($H7-1)/3))</f>
        <v>5</v>
      </c>
      <c r="AC7" s="5" t="n">
        <f aca="false">IF($AB7&lt;$I7,$I7-MAX($AB7,$B7),0)</f>
        <v>0</v>
      </c>
      <c r="AD7" s="5" t="n">
        <f aca="false">(5-ROUND(($H7-1)/3,0))</f>
        <v>5</v>
      </c>
      <c r="AE7" s="5" t="n">
        <f aca="false">IF($AD7&lt;$J7,$J7-MAX($AD7,$B7),0)</f>
        <v>0</v>
      </c>
      <c r="AG7" s="6" t="n">
        <f aca="false">VLOOKUP($F7,Category!$A$2:$AZ$20,24,0)</f>
        <v>0.222222222222222</v>
      </c>
      <c r="AH7" s="6" t="n">
        <f aca="false">VLOOKUP($F7,Category!$A$2:$AZ$20,26,0)</f>
        <v>0.666666666666667</v>
      </c>
      <c r="AI7" s="6" t="n">
        <f aca="false">VLOOKUP($E7,Role!$A$2:$O$9,6,0)</f>
        <v>0.6</v>
      </c>
      <c r="AJ7" s="6" t="n">
        <f aca="false">VLOOKUP($F7,Category!$A$2:$AZ$20,19,0)</f>
        <v>0.181818181818182</v>
      </c>
      <c r="AK7" s="6" t="n">
        <f aca="false">VLOOKUP($F7,Category!$A$2:$AZ$20,21,0)</f>
        <v>0.727272727272727</v>
      </c>
      <c r="AL7" s="6" t="n">
        <f aca="false">VLOOKUP($E7,Role!$A$2:$O$9,7,0)</f>
        <v>1</v>
      </c>
      <c r="AM7" s="6" t="n">
        <f aca="false">VLOOKUP($F7,Category!$A$2:$AZ$20,19,0)</f>
        <v>0.181818181818182</v>
      </c>
      <c r="AN7" s="6" t="n">
        <f aca="false">VLOOKUP($F7,Category!$A$2:$AZ$20,21,0)</f>
        <v>0.727272727272727</v>
      </c>
      <c r="AO7" s="6" t="n">
        <f aca="false">VLOOKUP($E7,Role!$A$2:$O$9,5,0)</f>
        <v>1</v>
      </c>
      <c r="AP7" s="6" t="n">
        <f aca="false">VLOOKUP($F7,Category!$A$2:$AZ$20,9,0)</f>
        <v>0.222222222222222</v>
      </c>
      <c r="AQ7" s="6" t="n">
        <f aca="false">VLOOKUP($F7,Category!$A$2:$AZ$20,11,0)</f>
        <v>0.777777777777778</v>
      </c>
      <c r="AR7" s="6" t="n">
        <f aca="false">VLOOKUP($F7,Category!$A$2:$AZ$20,10,0)</f>
        <v>1</v>
      </c>
      <c r="AS7" s="6" t="n">
        <f aca="false">VLOOKUP($E7,Role!$A$2:$O$9,4,0)</f>
        <v>1.2</v>
      </c>
      <c r="AT7" s="7" t="n">
        <f aca="false">VLOOKUP($F7,Category!$A$2:$AZ$20,14,0)</f>
        <v>0.333333333333333</v>
      </c>
      <c r="AU7" s="7" t="n">
        <f aca="false">VLOOKUP($F7,Category!$A$2:$AZ$20,16,0)</f>
        <v>0.5</v>
      </c>
      <c r="AV7" s="7" t="n">
        <f aca="false">VLOOKUP($D7,Size!$A$2:$Z$14,17,0)</f>
        <v>3</v>
      </c>
      <c r="AW7" s="7" t="n">
        <f aca="false">VLOOKUP($E7,Role!$A$2:$O$9,3,0)</f>
        <v>1</v>
      </c>
      <c r="AX7" s="7" t="n">
        <f aca="false">VLOOKUP($F7,Category!$A$2:$AZ$20,29,0)</f>
        <v>0.333333333333333</v>
      </c>
      <c r="AY7" s="7" t="n">
        <f aca="false">VLOOKUP($F7,Category!$A$2:$AZ$20,31,0)</f>
        <v>0.444444444444444</v>
      </c>
      <c r="AZ7" s="7" t="n">
        <f aca="false">VLOOKUP($D7,Size!$A$2:$Z$14,16,0)</f>
        <v>3</v>
      </c>
      <c r="BA7" s="7" t="n">
        <f aca="false">VLOOKUP($E7,Role!$A$2:$O$9,2,0)</f>
        <v>0.6</v>
      </c>
      <c r="BC7" s="7" t="n">
        <f aca="false">VLOOKUP($D7,Size!$A$2:$Z$14,19,0)</f>
        <v>10</v>
      </c>
      <c r="BD7" s="7" t="n">
        <f aca="false">VLOOKUP($D7,Size!$A$2:$Z$14,20,0)</f>
        <v>1</v>
      </c>
      <c r="BE7" s="7" t="n">
        <f aca="false">VLOOKUP($E7,Role!$A$2:$O$9,12,0)</f>
        <v>1.25</v>
      </c>
      <c r="BF7" s="7" t="n">
        <f aca="false">VLOOKUP($C7,Type!$A$2:$B$4,2,0)</f>
        <v>1</v>
      </c>
      <c r="BG7" s="7" t="n">
        <f aca="false">VLOOKUP($D7,Size!$A$2:$Z$14,18,0)</f>
        <v>13</v>
      </c>
      <c r="BH7" s="7" t="n">
        <f aca="false">INT($BF7*$BG7*$BE7*$B7/2)</f>
        <v>16</v>
      </c>
      <c r="BI7" s="7" t="n">
        <f aca="false">INT(($BC7*$BF7)+($I7*$BD7))</f>
        <v>12</v>
      </c>
      <c r="BJ7" s="7" t="n">
        <f aca="false">INT((($I7*$BE7)+$BC7)*$BF7)</f>
        <v>12</v>
      </c>
      <c r="BK7" s="14"/>
      <c r="BL7" s="7" t="n">
        <f aca="false">VLOOKUP($E7,Role!$A$2:$O$9,13,0)</f>
        <v>1.25</v>
      </c>
      <c r="BM7" s="7" t="n">
        <f aca="false">VLOOKUP($E7,Role!$A$2:$O$9,11,0)</f>
        <v>0.333</v>
      </c>
      <c r="BO7" s="7" t="n">
        <f aca="false">VLOOKUP($E7,Role!$A$2:$O$9,8,0)</f>
        <v>0.5</v>
      </c>
      <c r="BP7" s="7" t="n">
        <f aca="false">VLOOKUP($E7,Role!$A$2:$O$9,9,0)</f>
        <v>1</v>
      </c>
      <c r="BQ7" s="7" t="n">
        <f aca="false">VLOOKUP($E7,Role!$A$2:$O$9,10,0)</f>
        <v>0.5</v>
      </c>
    </row>
    <row r="8" customFormat="false" ht="12.8" hidden="false" customHeight="false" outlineLevel="0" collapsed="false">
      <c r="B8" s="2" t="n">
        <v>2</v>
      </c>
      <c r="C8" s="3" t="s">
        <v>63</v>
      </c>
      <c r="D8" s="1" t="s">
        <v>64</v>
      </c>
      <c r="E8" s="1" t="s">
        <v>73</v>
      </c>
      <c r="F8" s="1" t="s">
        <v>68</v>
      </c>
      <c r="G8" s="1" t="s">
        <v>67</v>
      </c>
      <c r="H8" s="4" t="n">
        <f aca="false">VLOOKUP($D8,Size!$A$2:$Z$14,6,0)</f>
        <v>1</v>
      </c>
      <c r="I8" s="13" t="n">
        <f aca="false">INT(($B8*$AZ8*$AX8*$BA8)+($B8*$AY8))</f>
        <v>2</v>
      </c>
      <c r="J8" s="4" t="n">
        <f aca="false">ROUND((($B8*$AT8)+($AV8*$AU8))*$AW8,0)</f>
        <v>2</v>
      </c>
      <c r="K8" s="4" t="n">
        <f aca="false">ROUND((($B8*$AP8)+($B8*$AQ8))*$AS8,0)</f>
        <v>2</v>
      </c>
      <c r="L8" s="4" t="n">
        <f aca="false">ROUND((($B8*$AM8)+($B8*$AN8))*$AO8,0)</f>
        <v>2</v>
      </c>
      <c r="M8" s="4" t="n">
        <f aca="false">ROUND((($B8*$AG8)+($B8*$AH8))*$AI8,0)</f>
        <v>2</v>
      </c>
      <c r="N8" s="4" t="n">
        <f aca="false">ROUND((($B8*$AJ8)+($B8*$AK8))*$AL8,0)</f>
        <v>2</v>
      </c>
      <c r="O8" s="4" t="n">
        <f aca="false">INT($BO8*$B8)</f>
        <v>1</v>
      </c>
      <c r="P8" s="4" t="n">
        <f aca="false">INT($BP8*$B8)</f>
        <v>1</v>
      </c>
      <c r="Q8" s="4" t="n">
        <f aca="false">INT($BQ8*$B8*$AR8)</f>
        <v>1</v>
      </c>
      <c r="R8" s="4" t="n">
        <f aca="false">IF($R$1="WT/G",INT(POWER($BH8*$BJ8*$BI8,0.333333)),0)+IF($R$1="WT/A",INT(($BH8+$BJ8+$BI8)/3),0)+IF($R$1="WT/A2",INT(($BJ8+$BI8)/2),0)+IF($R$1="WT/W",INT(($BH8+$BJ8+$BJ8+$BI8)/4),0)+IF($R$1="WT/W2",INT(($BH8+$BJ8+$BI8+$BI8)/4),0)+IF($R$1="WT/N",INT(MIN($BH8,$BJ8,$BI8)),0)+IF($R$1="WT/M",INT(MAX($BH8,$BJ8,$BI8)),0)+IF($R$1="WT/1",INT($BH8),0)+IF($R$1="WT/2",INT($BI8),0)+IF($R$1="WT/3",INT($BJ8),0)</f>
        <v>14</v>
      </c>
      <c r="S8" s="4" t="n">
        <f aca="false">INT((10+$M8)*$BL8)</f>
        <v>15</v>
      </c>
      <c r="T8" s="4" t="n">
        <f aca="false">INT($I8*$BM8*$BF8)</f>
        <v>1</v>
      </c>
      <c r="U8" s="2" t="n">
        <f aca="false">ROUND(MAX($J8,$L8)+(MIN($J8,$L8)*$X8),0)</f>
        <v>4</v>
      </c>
      <c r="V8" s="2" t="n">
        <f aca="false">MAX(1,INT(((MIN($I8:$J8)+(MAX($I8:$J8)*$H8*$Y8)))*$Z8))</f>
        <v>4</v>
      </c>
      <c r="X8" s="5" t="n">
        <f aca="false">VLOOKUP($E8,Role!$A$2:$O$9,14,0)</f>
        <v>0.75</v>
      </c>
      <c r="Y8" s="5" t="n">
        <f aca="false">VLOOKUP($E8,Role!$A$2:$O$9,15,0)</f>
        <v>1</v>
      </c>
      <c r="Z8" s="5" t="n">
        <f aca="false">VLOOKUP($G8,Movement!$A$2:$C$7,3,0)</f>
        <v>1</v>
      </c>
      <c r="AB8" s="5" t="n">
        <f aca="false">INT(5+(($H8-1)/3))</f>
        <v>5</v>
      </c>
      <c r="AC8" s="5" t="n">
        <f aca="false">IF($AB8&lt;$I8,$I8-MAX($AB8,$B8),0)</f>
        <v>0</v>
      </c>
      <c r="AD8" s="5" t="n">
        <f aca="false">(5-ROUND(($H8-1)/3,0))</f>
        <v>5</v>
      </c>
      <c r="AE8" s="5" t="n">
        <f aca="false">IF($AD8&lt;$J8,$J8-MAX($AD8,$B8),0)</f>
        <v>0</v>
      </c>
      <c r="AG8" s="6" t="n">
        <f aca="false">VLOOKUP($F8,Category!$A$2:$AZ$20,24,0)</f>
        <v>0.222222222222222</v>
      </c>
      <c r="AH8" s="6" t="n">
        <f aca="false">VLOOKUP($F8,Category!$A$2:$AZ$20,26,0)</f>
        <v>0.666666666666667</v>
      </c>
      <c r="AI8" s="6" t="n">
        <f aca="false">VLOOKUP($E8,Role!$A$2:$O$9,6,0)</f>
        <v>1</v>
      </c>
      <c r="AJ8" s="6" t="n">
        <f aca="false">VLOOKUP($F8,Category!$A$2:$AZ$20,19,0)</f>
        <v>0.181818181818182</v>
      </c>
      <c r="AK8" s="6" t="n">
        <f aca="false">VLOOKUP($F8,Category!$A$2:$AZ$20,21,0)</f>
        <v>0.727272727272727</v>
      </c>
      <c r="AL8" s="6" t="n">
        <f aca="false">VLOOKUP($E8,Role!$A$2:$O$9,7,0)</f>
        <v>1</v>
      </c>
      <c r="AM8" s="6" t="n">
        <f aca="false">VLOOKUP($F8,Category!$A$2:$AZ$20,19,0)</f>
        <v>0.181818181818182</v>
      </c>
      <c r="AN8" s="6" t="n">
        <f aca="false">VLOOKUP($F8,Category!$A$2:$AZ$20,21,0)</f>
        <v>0.727272727272727</v>
      </c>
      <c r="AO8" s="6" t="n">
        <f aca="false">VLOOKUP($E8,Role!$A$2:$O$9,5,0)</f>
        <v>1</v>
      </c>
      <c r="AP8" s="6" t="n">
        <f aca="false">VLOOKUP($F8,Category!$A$2:$AZ$20,9,0)</f>
        <v>0.222222222222222</v>
      </c>
      <c r="AQ8" s="6" t="n">
        <f aca="false">VLOOKUP($F8,Category!$A$2:$AZ$20,11,0)</f>
        <v>0.777777777777778</v>
      </c>
      <c r="AR8" s="6" t="n">
        <f aca="false">VLOOKUP($F8,Category!$A$2:$AZ$20,10,0)</f>
        <v>1</v>
      </c>
      <c r="AS8" s="6" t="n">
        <f aca="false">VLOOKUP($E8,Role!$A$2:$O$9,4,0)</f>
        <v>1</v>
      </c>
      <c r="AT8" s="7" t="n">
        <f aca="false">VLOOKUP($F8,Category!$A$2:$AZ$20,14,0)</f>
        <v>0.333333333333333</v>
      </c>
      <c r="AU8" s="7" t="n">
        <f aca="false">VLOOKUP($F8,Category!$A$2:$AZ$20,16,0)</f>
        <v>0.5</v>
      </c>
      <c r="AV8" s="7" t="n">
        <f aca="false">VLOOKUP($D8,Size!$A$2:$Z$14,17,0)</f>
        <v>3</v>
      </c>
      <c r="AW8" s="7" t="n">
        <f aca="false">VLOOKUP($E8,Role!$A$2:$O$9,3,0)</f>
        <v>1</v>
      </c>
      <c r="AX8" s="7" t="n">
        <f aca="false">VLOOKUP($F8,Category!$A$2:$AZ$20,29,0)</f>
        <v>0.333333333333333</v>
      </c>
      <c r="AY8" s="7" t="n">
        <f aca="false">VLOOKUP($F8,Category!$A$2:$AZ$20,31,0)</f>
        <v>0.444444444444444</v>
      </c>
      <c r="AZ8" s="7" t="n">
        <f aca="false">VLOOKUP($D8,Size!$A$2:$Z$14,16,0)</f>
        <v>3</v>
      </c>
      <c r="BA8" s="7" t="n">
        <f aca="false">VLOOKUP($E8,Role!$A$2:$O$9,2,0)</f>
        <v>1</v>
      </c>
      <c r="BC8" s="7" t="n">
        <f aca="false">VLOOKUP($D8,Size!$A$2:$Z$14,19,0)</f>
        <v>10</v>
      </c>
      <c r="BD8" s="7" t="n">
        <f aca="false">VLOOKUP($D8,Size!$A$2:$Z$14,20,0)</f>
        <v>1</v>
      </c>
      <c r="BE8" s="7" t="n">
        <f aca="false">VLOOKUP($E8,Role!$A$2:$O$9,12,0)</f>
        <v>1.5</v>
      </c>
      <c r="BF8" s="7" t="n">
        <f aca="false">VLOOKUP($C8,Type!$A$2:$B$4,2,0)</f>
        <v>1</v>
      </c>
      <c r="BG8" s="7" t="n">
        <f aca="false">VLOOKUP($D8,Size!$A$2:$Z$14,18,0)</f>
        <v>13</v>
      </c>
      <c r="BH8" s="7" t="n">
        <f aca="false">INT($BF8*$BG8*$BE8*$B8/2)</f>
        <v>19</v>
      </c>
      <c r="BI8" s="7" t="n">
        <f aca="false">INT(($BC8*$BF8)+($I8*$BD8))</f>
        <v>12</v>
      </c>
      <c r="BJ8" s="7" t="n">
        <f aca="false">INT((($I8*$BE8)+$BC8)*$BF8)</f>
        <v>13</v>
      </c>
      <c r="BK8" s="14"/>
      <c r="BL8" s="7" t="n">
        <f aca="false">VLOOKUP($E8,Role!$A$2:$O$9,13,0)</f>
        <v>1.25</v>
      </c>
      <c r="BM8" s="7" t="n">
        <f aca="false">VLOOKUP($E8,Role!$A$2:$O$9,11,0)</f>
        <v>0.666</v>
      </c>
      <c r="BO8" s="7" t="n">
        <f aca="false">VLOOKUP($E8,Role!$A$2:$O$9,8,0)</f>
        <v>0.75</v>
      </c>
      <c r="BP8" s="7" t="n">
        <f aca="false">VLOOKUP($E8,Role!$A$2:$O$9,9,0)</f>
        <v>0.75</v>
      </c>
      <c r="BQ8" s="7" t="n">
        <f aca="false">VLOOKUP($E8,Role!$A$2:$O$9,10,0)</f>
        <v>0.6</v>
      </c>
    </row>
    <row r="9" customFormat="false" ht="12.8" hidden="false" customHeight="false" outlineLevel="0" collapsed="false">
      <c r="B9" s="2" t="n">
        <v>2</v>
      </c>
      <c r="C9" s="3" t="s">
        <v>63</v>
      </c>
      <c r="D9" s="1" t="s">
        <v>64</v>
      </c>
      <c r="E9" s="1" t="s">
        <v>74</v>
      </c>
      <c r="F9" s="1" t="s">
        <v>68</v>
      </c>
      <c r="G9" s="1" t="s">
        <v>67</v>
      </c>
      <c r="H9" s="4" t="n">
        <f aca="false">VLOOKUP($D9,Size!$A$2:$Z$14,6,0)</f>
        <v>1</v>
      </c>
      <c r="I9" s="13" t="n">
        <f aca="false">INT(($B9*$AZ9*$AX9*$BA9)+($B9*$AY9))</f>
        <v>2</v>
      </c>
      <c r="J9" s="4" t="n">
        <f aca="false">ROUND((($B9*$AT9)+($AV9*$AU9))*$AW9,0)</f>
        <v>2</v>
      </c>
      <c r="K9" s="4" t="n">
        <f aca="false">ROUND((($B9*$AP9)+($B9*$AQ9))*$AS9,0)</f>
        <v>2</v>
      </c>
      <c r="L9" s="4" t="n">
        <f aca="false">ROUND((($B9*$AM9)+($B9*$AN9))*$AO9,0)</f>
        <v>2</v>
      </c>
      <c r="M9" s="4" t="n">
        <f aca="false">ROUND((($B9*$AG9)+($B9*$AH9))*$AI9,0)</f>
        <v>2</v>
      </c>
      <c r="N9" s="4" t="n">
        <f aca="false">ROUND((($B9*$AJ9)+($B9*$AK9))*$AL9,0)</f>
        <v>2</v>
      </c>
      <c r="O9" s="4" t="n">
        <f aca="false">INT($BO9*$B9)</f>
        <v>1</v>
      </c>
      <c r="P9" s="4" t="n">
        <f aca="false">INT($BP9*$B9)</f>
        <v>1</v>
      </c>
      <c r="Q9" s="4" t="n">
        <f aca="false">INT($BQ9*$B9*$AR9)</f>
        <v>1</v>
      </c>
      <c r="R9" s="4" t="n">
        <f aca="false">IF($R$1="WT/G",INT(POWER($BH9*$BJ9*$BI9,0.333333)),0)+IF($R$1="WT/A",INT(($BH9+$BJ9+$BI9)/3),0)+IF($R$1="WT/A2",INT(($BJ9+$BI9)/2),0)+IF($R$1="WT/W",INT(($BH9+$BJ9+$BJ9+$BI9)/4),0)+IF($R$1="WT/W2",INT(($BH9+$BJ9+$BI9+$BI9)/4),0)+IF($R$1="WT/N",INT(MIN($BH9,$BJ9,$BI9)),0)+IF($R$1="WT/M",INT(MAX($BH9,$BJ9,$BI9)),0)+IF($R$1="WT/1",INT($BH9),0)+IF($R$1="WT/2",INT($BI9),0)+IF($R$1="WT/3",INT($BJ9),0)</f>
        <v>13</v>
      </c>
      <c r="S9" s="4" t="n">
        <f aca="false">INT((10+$M9)*$BL9)</f>
        <v>12</v>
      </c>
      <c r="T9" s="4" t="n">
        <f aca="false">INT($I9*$BM9*$BF9)</f>
        <v>0</v>
      </c>
      <c r="U9" s="2" t="n">
        <f aca="false">ROUND(MAX($J9,$L9)+(MIN($J9,$L9)*$X9),0)</f>
        <v>4</v>
      </c>
      <c r="V9" s="2" t="n">
        <f aca="false">MAX(1,INT(((MIN($I9:$J9)+(MAX($I9:$J9)*$H9*$Y9)))*$Z9))</f>
        <v>5</v>
      </c>
      <c r="X9" s="5" t="n">
        <f aca="false">VLOOKUP($E9,Role!$A$2:$O$9,14,0)</f>
        <v>1</v>
      </c>
      <c r="Y9" s="5" t="n">
        <f aca="false">VLOOKUP($E9,Role!$A$2:$O$9,15,0)</f>
        <v>1.5</v>
      </c>
      <c r="Z9" s="5" t="n">
        <f aca="false">VLOOKUP($G9,Movement!$A$2:$C$7,3,0)</f>
        <v>1</v>
      </c>
      <c r="AB9" s="5" t="n">
        <f aca="false">INT(5+(($H9-1)/3))</f>
        <v>5</v>
      </c>
      <c r="AC9" s="5" t="n">
        <f aca="false">IF($AB9&lt;$I9,$I9-MAX($AB9,$B9),0)</f>
        <v>0</v>
      </c>
      <c r="AD9" s="5" t="n">
        <f aca="false">(5-ROUND(($H9-1)/3,0))</f>
        <v>5</v>
      </c>
      <c r="AE9" s="5" t="n">
        <f aca="false">IF($AD9&lt;$J9,$J9-MAX($AD9,$B9),0)</f>
        <v>0</v>
      </c>
      <c r="AG9" s="6" t="n">
        <f aca="false">VLOOKUP($F9,Category!$A$2:$AZ$20,24,0)</f>
        <v>0.222222222222222</v>
      </c>
      <c r="AH9" s="6" t="n">
        <f aca="false">VLOOKUP($F9,Category!$A$2:$AZ$20,26,0)</f>
        <v>0.666666666666667</v>
      </c>
      <c r="AI9" s="6" t="n">
        <f aca="false">VLOOKUP($E9,Role!$A$2:$O$9,6,0)</f>
        <v>1</v>
      </c>
      <c r="AJ9" s="6" t="n">
        <f aca="false">VLOOKUP($F9,Category!$A$2:$AZ$20,19,0)</f>
        <v>0.181818181818182</v>
      </c>
      <c r="AK9" s="6" t="n">
        <f aca="false">VLOOKUP($F9,Category!$A$2:$AZ$20,21,0)</f>
        <v>0.727272727272727</v>
      </c>
      <c r="AL9" s="6" t="n">
        <f aca="false">VLOOKUP($E9,Role!$A$2:$O$9,7,0)</f>
        <v>1.2</v>
      </c>
      <c r="AM9" s="6" t="n">
        <f aca="false">VLOOKUP($F9,Category!$A$2:$AZ$20,19,0)</f>
        <v>0.181818181818182</v>
      </c>
      <c r="AN9" s="6" t="n">
        <f aca="false">VLOOKUP($F9,Category!$A$2:$AZ$20,21,0)</f>
        <v>0.727272727272727</v>
      </c>
      <c r="AO9" s="6" t="n">
        <f aca="false">VLOOKUP($E9,Role!$A$2:$O$9,5,0)</f>
        <v>1.2</v>
      </c>
      <c r="AP9" s="6" t="n">
        <f aca="false">VLOOKUP($F9,Category!$A$2:$AZ$20,9,0)</f>
        <v>0.222222222222222</v>
      </c>
      <c r="AQ9" s="6" t="n">
        <f aca="false">VLOOKUP($F9,Category!$A$2:$AZ$20,11,0)</f>
        <v>0.777777777777778</v>
      </c>
      <c r="AR9" s="6" t="n">
        <f aca="false">VLOOKUP($F9,Category!$A$2:$AZ$20,10,0)</f>
        <v>1</v>
      </c>
      <c r="AS9" s="6" t="n">
        <f aca="false">VLOOKUP($E9,Role!$A$2:$O$9,4,0)</f>
        <v>1.2</v>
      </c>
      <c r="AT9" s="7" t="n">
        <f aca="false">VLOOKUP($F9,Category!$A$2:$AZ$20,14,0)</f>
        <v>0.333333333333333</v>
      </c>
      <c r="AU9" s="7" t="n">
        <f aca="false">VLOOKUP($F9,Category!$A$2:$AZ$20,16,0)</f>
        <v>0.5</v>
      </c>
      <c r="AV9" s="7" t="n">
        <f aca="false">VLOOKUP($D9,Size!$A$2:$Z$14,17,0)</f>
        <v>3</v>
      </c>
      <c r="AW9" s="7" t="n">
        <f aca="false">VLOOKUP($E9,Role!$A$2:$O$9,3,0)</f>
        <v>1</v>
      </c>
      <c r="AX9" s="7" t="n">
        <f aca="false">VLOOKUP($F9,Category!$A$2:$AZ$20,29,0)</f>
        <v>0.333333333333333</v>
      </c>
      <c r="AY9" s="7" t="n">
        <f aca="false">VLOOKUP($F9,Category!$A$2:$AZ$20,31,0)</f>
        <v>0.444444444444444</v>
      </c>
      <c r="AZ9" s="7" t="n">
        <f aca="false">VLOOKUP($D9,Size!$A$2:$Z$14,16,0)</f>
        <v>3</v>
      </c>
      <c r="BA9" s="7" t="n">
        <f aca="false">VLOOKUP($E9,Role!$A$2:$O$9,2,0)</f>
        <v>0.6</v>
      </c>
      <c r="BC9" s="7" t="n">
        <f aca="false">VLOOKUP($D9,Size!$A$2:$Z$14,19,0)</f>
        <v>10</v>
      </c>
      <c r="BD9" s="7" t="n">
        <f aca="false">VLOOKUP($D9,Size!$A$2:$Z$14,20,0)</f>
        <v>1</v>
      </c>
      <c r="BE9" s="7" t="n">
        <f aca="false">VLOOKUP($E9,Role!$A$2:$O$9,12,0)</f>
        <v>1.25</v>
      </c>
      <c r="BF9" s="7" t="n">
        <f aca="false">VLOOKUP($C9,Type!$A$2:$B$4,2,0)</f>
        <v>1</v>
      </c>
      <c r="BG9" s="7" t="n">
        <f aca="false">VLOOKUP($D9,Size!$A$2:$Z$14,18,0)</f>
        <v>13</v>
      </c>
      <c r="BH9" s="7" t="n">
        <f aca="false">INT($BF9*$BG9*$BE9*$B9/2)</f>
        <v>16</v>
      </c>
      <c r="BI9" s="7" t="n">
        <f aca="false">INT(($BC9*$BF9)+($I9*$BD9))</f>
        <v>12</v>
      </c>
      <c r="BJ9" s="7" t="n">
        <f aca="false">INT((($I9*$BE9)+$BC9)*$BF9)</f>
        <v>12</v>
      </c>
      <c r="BK9" s="14"/>
      <c r="BL9" s="7" t="n">
        <f aca="false">VLOOKUP($E9,Role!$A$2:$O$9,13,0)</f>
        <v>1</v>
      </c>
      <c r="BM9" s="7" t="n">
        <f aca="false">VLOOKUP($E9,Role!$A$2:$O$9,11,0)</f>
        <v>0.333</v>
      </c>
      <c r="BO9" s="7" t="n">
        <f aca="false">VLOOKUP($E9,Role!$A$2:$O$9,8,0)</f>
        <v>0.5</v>
      </c>
      <c r="BP9" s="7" t="n">
        <f aca="false">VLOOKUP($E9,Role!$A$2:$O$9,9,0)</f>
        <v>0.75</v>
      </c>
      <c r="BQ9" s="7" t="n">
        <f aca="false">VLOOKUP($E9,Role!$A$2:$O$9,10,0)</f>
        <v>0.66</v>
      </c>
    </row>
    <row r="10" customFormat="false" ht="12.8" hidden="false" customHeight="false" outlineLevel="0" collapsed="false">
      <c r="B10" s="2" t="n">
        <v>2</v>
      </c>
      <c r="C10" s="3" t="s">
        <v>63</v>
      </c>
      <c r="D10" s="1" t="s">
        <v>64</v>
      </c>
      <c r="E10" s="1" t="s">
        <v>70</v>
      </c>
      <c r="F10" s="1" t="s">
        <v>75</v>
      </c>
      <c r="G10" s="1" t="s">
        <v>67</v>
      </c>
      <c r="H10" s="4" t="n">
        <f aca="false">VLOOKUP($D10,Size!$A$2:$Z$14,6,0)</f>
        <v>1</v>
      </c>
      <c r="I10" s="13" t="n">
        <f aca="false">INT(($B10*$AZ10*$AX10*$BA10)+($B10*$AY10))</f>
        <v>2</v>
      </c>
      <c r="J10" s="4" t="n">
        <f aca="false">ROUND((($B10*$AT10)+($AV10*$AU10))*$AW10,0)</f>
        <v>1</v>
      </c>
      <c r="K10" s="4" t="n">
        <f aca="false">ROUND((($B10*$AP10)+($B10*$AQ10))*$AS10,0)</f>
        <v>1</v>
      </c>
      <c r="L10" s="4" t="n">
        <f aca="false">ROUND((($B10*$AM10)+($B10*$AN10))*$AO10,0)</f>
        <v>1</v>
      </c>
      <c r="M10" s="4" t="n">
        <f aca="false">ROUND((($B10*$AG10)+($B10*$AH10))*$AI10,0)</f>
        <v>1</v>
      </c>
      <c r="N10" s="4" t="n">
        <f aca="false">ROUND((($B10*$AJ10)+($B10*$AK10))*$AL10,0)</f>
        <v>1</v>
      </c>
      <c r="O10" s="4" t="n">
        <f aca="false">INT($BO10*$B10)</f>
        <v>1</v>
      </c>
      <c r="P10" s="4" t="n">
        <f aca="false">INT($BP10*$B10)</f>
        <v>1</v>
      </c>
      <c r="Q10" s="4" t="n">
        <f aca="false">INT($BQ10*$B10*$AR10)</f>
        <v>1</v>
      </c>
      <c r="R10" s="4" t="n">
        <f aca="false">IF($R$1="WT/G",INT(POWER($BH10*$BJ10*$BI10,0.333333)),0)+IF($R$1="WT/A",INT(($BH10+$BJ10+$BI10)/3),0)+IF($R$1="WT/A2",INT(($BJ10+$BI10)/2),0)+IF($R$1="WT/W",INT(($BH10+$BJ10+$BJ10+$BI10)/4),0)+IF($R$1="WT/W2",INT(($BH10+$BJ10+$BI10+$BI10)/4),0)+IF($R$1="WT/N",INT(MIN($BH10,$BJ10,$BI10)),0)+IF($R$1="WT/M",INT(MAX($BH10,$BJ10,$BI10)),0)+IF($R$1="WT/1",INT($BH10),0)+IF($R$1="WT/2",INT($BI10),0)+IF($R$1="WT/3",INT($BJ10),0)</f>
        <v>13</v>
      </c>
      <c r="S10" s="4" t="n">
        <f aca="false">INT((10+$M10)*$BL10)</f>
        <v>13</v>
      </c>
      <c r="T10" s="4" t="n">
        <f aca="false">INT($I10*$BM10*$BF10)</f>
        <v>1</v>
      </c>
      <c r="U10" s="2" t="n">
        <f aca="false">ROUND(MAX($J10,$L10)+(MIN($J10,$L10)*$X10),0)</f>
        <v>2</v>
      </c>
      <c r="V10" s="2" t="n">
        <f aca="false">MAX(1,INT(((MIN($I10:$J10)+(MAX($I10:$J10)*$H10*$Y10)))*$Z10))</f>
        <v>3</v>
      </c>
      <c r="X10" s="5" t="n">
        <f aca="false">VLOOKUP($E10,Role!$A$2:$O$9,14,0)</f>
        <v>1</v>
      </c>
      <c r="Y10" s="5" t="n">
        <f aca="false">VLOOKUP($E10,Role!$A$2:$O$9,15,0)</f>
        <v>1</v>
      </c>
      <c r="Z10" s="5" t="n">
        <f aca="false">VLOOKUP($G10,Movement!$A$2:$C$7,3,0)</f>
        <v>1</v>
      </c>
      <c r="AB10" s="5" t="n">
        <f aca="false">INT(5+(($H10-1)/3))</f>
        <v>5</v>
      </c>
      <c r="AC10" s="5" t="n">
        <f aca="false">IF($AB10&lt;$I10,$I10-MAX($AB10,$B10),0)</f>
        <v>0</v>
      </c>
      <c r="AD10" s="5" t="n">
        <f aca="false">(5-ROUND(($H10-1)/3,0))</f>
        <v>5</v>
      </c>
      <c r="AE10" s="5" t="n">
        <f aca="false">IF($AD10&lt;$J10,$J10-MAX($AD10,$B10),0)</f>
        <v>0</v>
      </c>
      <c r="AG10" s="6" t="n">
        <f aca="false">VLOOKUP($F10,Category!$A$2:$AZ$20,24,0)</f>
        <v>0.111111111111111</v>
      </c>
      <c r="AH10" s="6" t="n">
        <f aca="false">VLOOKUP($F10,Category!$A$2:$AZ$20,26,0)</f>
        <v>1</v>
      </c>
      <c r="AI10" s="6" t="n">
        <f aca="false">VLOOKUP($E10,Role!$A$2:$O$9,6,0)</f>
        <v>0.666</v>
      </c>
      <c r="AJ10" s="6" t="n">
        <f aca="false">VLOOKUP($F10,Category!$A$2:$AZ$20,19,0)</f>
        <v>0.0909090909090909</v>
      </c>
      <c r="AK10" s="6" t="n">
        <f aca="false">VLOOKUP($F10,Category!$A$2:$AZ$20,21,0)</f>
        <v>0.818181818181818</v>
      </c>
      <c r="AL10" s="6" t="n">
        <f aca="false">VLOOKUP($E10,Role!$A$2:$O$9,7,0)</f>
        <v>0.666</v>
      </c>
      <c r="AM10" s="6" t="n">
        <f aca="false">VLOOKUP($F10,Category!$A$2:$AZ$20,19,0)</f>
        <v>0.0909090909090909</v>
      </c>
      <c r="AN10" s="6" t="n">
        <f aca="false">VLOOKUP($F10,Category!$A$2:$AZ$20,21,0)</f>
        <v>0.818181818181818</v>
      </c>
      <c r="AO10" s="6" t="n">
        <f aca="false">VLOOKUP($E10,Role!$A$2:$O$9,5,0)</f>
        <v>0.666</v>
      </c>
      <c r="AP10" s="6" t="n">
        <f aca="false">VLOOKUP($F10,Category!$A$2:$AZ$20,9,0)</f>
        <v>0.111111111111111</v>
      </c>
      <c r="AQ10" s="6" t="n">
        <f aca="false">VLOOKUP($F10,Category!$A$2:$AZ$20,11,0)</f>
        <v>0.888888888888889</v>
      </c>
      <c r="AR10" s="6" t="n">
        <f aca="false">VLOOKUP($F10,Category!$A$2:$AZ$20,10,0)</f>
        <v>1</v>
      </c>
      <c r="AS10" s="6" t="n">
        <f aca="false">VLOOKUP($E10,Role!$A$2:$O$9,4,0)</f>
        <v>0.666</v>
      </c>
      <c r="AT10" s="7" t="n">
        <f aca="false">VLOOKUP($F10,Category!$A$2:$AZ$20,14,0)</f>
        <v>0.333333333333333</v>
      </c>
      <c r="AU10" s="7" t="n">
        <f aca="false">VLOOKUP($F10,Category!$A$2:$AZ$20,16,0)</f>
        <v>0.5</v>
      </c>
      <c r="AV10" s="7" t="n">
        <f aca="false">VLOOKUP($D10,Size!$A$2:$Z$14,17,0)</f>
        <v>3</v>
      </c>
      <c r="AW10" s="7" t="n">
        <f aca="false">VLOOKUP($E10,Role!$A$2:$O$9,3,0)</f>
        <v>0.666</v>
      </c>
      <c r="AX10" s="7" t="n">
        <f aca="false">VLOOKUP($F10,Category!$A$2:$AZ$20,29,0)</f>
        <v>0.333333333333333</v>
      </c>
      <c r="AY10" s="7" t="n">
        <f aca="false">VLOOKUP($F10,Category!$A$2:$AZ$20,31,0)</f>
        <v>0.555555555555556</v>
      </c>
      <c r="AZ10" s="7" t="n">
        <f aca="false">VLOOKUP($D10,Size!$A$2:$Z$14,16,0)</f>
        <v>3</v>
      </c>
      <c r="BA10" s="7" t="n">
        <f aca="false">VLOOKUP($E10,Role!$A$2:$O$9,2,0)</f>
        <v>0.666</v>
      </c>
      <c r="BC10" s="7" t="n">
        <f aca="false">VLOOKUP($D10,Size!$A$2:$Z$14,19,0)</f>
        <v>10</v>
      </c>
      <c r="BD10" s="7" t="n">
        <f aca="false">VLOOKUP($D10,Size!$A$2:$Z$14,20,0)</f>
        <v>1</v>
      </c>
      <c r="BE10" s="7" t="n">
        <f aca="false">VLOOKUP($E10,Role!$A$2:$O$9,12,0)</f>
        <v>1.25</v>
      </c>
      <c r="BF10" s="7" t="n">
        <f aca="false">VLOOKUP($C10,Type!$A$2:$B$4,2,0)</f>
        <v>1</v>
      </c>
      <c r="BG10" s="7" t="n">
        <f aca="false">VLOOKUP($D10,Size!$A$2:$Z$14,18,0)</f>
        <v>13</v>
      </c>
      <c r="BH10" s="7" t="n">
        <f aca="false">INT($BF10*$BG10*$BE10*$B10/2)</f>
        <v>16</v>
      </c>
      <c r="BI10" s="7" t="n">
        <f aca="false">INT(($BC10*$BF10)+($I10*$BD10))</f>
        <v>12</v>
      </c>
      <c r="BJ10" s="7" t="n">
        <f aca="false">INT((($I10*$BE10)+$BC10)*$BF10)</f>
        <v>12</v>
      </c>
      <c r="BK10" s="14"/>
      <c r="BL10" s="7" t="n">
        <f aca="false">VLOOKUP($E10,Role!$A$2:$O$9,13,0)</f>
        <v>1.25</v>
      </c>
      <c r="BM10" s="7" t="n">
        <f aca="false">VLOOKUP($E10,Role!$A$2:$O$9,11,0)</f>
        <v>0.666</v>
      </c>
      <c r="BO10" s="7" t="n">
        <f aca="false">VLOOKUP($E10,Role!$A$2:$O$9,8,0)</f>
        <v>0.75</v>
      </c>
      <c r="BP10" s="7" t="n">
        <f aca="false">VLOOKUP($E10,Role!$A$2:$O$9,9,0)</f>
        <v>0.75</v>
      </c>
      <c r="BQ10" s="7" t="n">
        <f aca="false">VLOOKUP($E10,Role!$A$2:$O$9,10,0)</f>
        <v>0.5</v>
      </c>
    </row>
    <row r="11" customFormat="false" ht="12.8" hidden="false" customHeight="false" outlineLevel="0" collapsed="false">
      <c r="B11" s="2" t="n">
        <v>2</v>
      </c>
      <c r="C11" s="3" t="s">
        <v>63</v>
      </c>
      <c r="D11" s="1" t="s">
        <v>64</v>
      </c>
      <c r="E11" s="1" t="s">
        <v>70</v>
      </c>
      <c r="F11" s="1" t="s">
        <v>75</v>
      </c>
      <c r="G11" s="1" t="s">
        <v>67</v>
      </c>
      <c r="H11" s="4" t="n">
        <f aca="false">VLOOKUP($D11,Size!$A$2:$Z$14,6,0)</f>
        <v>1</v>
      </c>
      <c r="I11" s="13" t="n">
        <f aca="false">INT(($B11*$AZ11*$AX11*$BA11)+($B11*$AY11))</f>
        <v>2</v>
      </c>
      <c r="J11" s="4" t="n">
        <f aca="false">ROUND((($B11*$AT11)+($AV11*$AU11))*$AW11,0)</f>
        <v>1</v>
      </c>
      <c r="K11" s="4" t="n">
        <f aca="false">ROUND((($B11*$AP11)+($B11*$AQ11))*$AS11,0)</f>
        <v>1</v>
      </c>
      <c r="L11" s="4" t="n">
        <f aca="false">ROUND((($B11*$AM11)+($B11*$AN11))*$AO11,0)</f>
        <v>1</v>
      </c>
      <c r="M11" s="4" t="n">
        <f aca="false">ROUND((($B11*$AG11)+($B11*$AH11))*$AI11,0)</f>
        <v>1</v>
      </c>
      <c r="N11" s="4" t="n">
        <f aca="false">ROUND((($B11*$AJ11)+($B11*$AK11))*$AL11,0)</f>
        <v>1</v>
      </c>
      <c r="O11" s="4" t="n">
        <f aca="false">INT($BO11*$B11)</f>
        <v>1</v>
      </c>
      <c r="P11" s="4" t="n">
        <f aca="false">INT($BP11*$B11)</f>
        <v>1</v>
      </c>
      <c r="Q11" s="4" t="n">
        <f aca="false">INT($BQ11*$B11*$AR11)</f>
        <v>1</v>
      </c>
      <c r="R11" s="4" t="n">
        <f aca="false">IF($R$1="WT/G",INT(POWER($BH11*$BJ11*$BI11,0.333333)),0)+IF($R$1="WT/A",INT(($BH11+$BJ11+$BI11)/3),0)+IF($R$1="WT/A2",INT(($BJ11+$BI11)/2),0)+IF($R$1="WT/W",INT(($BH11+$BJ11+$BJ11+$BI11)/4),0)+IF($R$1="WT/W2",INT(($BH11+$BJ11+$BI11+$BI11)/4),0)+IF($R$1="WT/N",INT(MIN($BH11,$BJ11,$BI11)),0)+IF($R$1="WT/M",INT(MAX($BH11,$BJ11,$BI11)),0)+IF($R$1="WT/1",INT($BH11),0)+IF($R$1="WT/2",INT($BI11),0)+IF($R$1="WT/3",INT($BJ11),0)</f>
        <v>13</v>
      </c>
      <c r="S11" s="4" t="n">
        <f aca="false">INT((10+$M11)*$BL11)</f>
        <v>13</v>
      </c>
      <c r="T11" s="4" t="n">
        <f aca="false">INT($I11*$BM11*$BF11)</f>
        <v>1</v>
      </c>
      <c r="U11" s="2" t="n">
        <f aca="false">ROUND(MAX($J11,$L11)+(MIN($J11,$L11)*$X11),0)</f>
        <v>2</v>
      </c>
      <c r="V11" s="2" t="n">
        <f aca="false">MAX(1,INT(((MIN($I11:$J11)+(MAX($I11:$J11)*$H11*$Y11)))*$Z11))</f>
        <v>3</v>
      </c>
      <c r="X11" s="5" t="n">
        <f aca="false">VLOOKUP($E11,Role!$A$2:$O$9,14,0)</f>
        <v>1</v>
      </c>
      <c r="Y11" s="5" t="n">
        <f aca="false">VLOOKUP($E11,Role!$A$2:$O$9,15,0)</f>
        <v>1</v>
      </c>
      <c r="Z11" s="5" t="n">
        <f aca="false">VLOOKUP($G11,Movement!$A$2:$C$7,3,0)</f>
        <v>1</v>
      </c>
      <c r="AB11" s="5" t="n">
        <f aca="false">INT(5+(($H11-1)/3))</f>
        <v>5</v>
      </c>
      <c r="AC11" s="5" t="n">
        <f aca="false">IF($AB11&lt;$I11,$I11-MAX($AB11,$B11),0)</f>
        <v>0</v>
      </c>
      <c r="AD11" s="5" t="n">
        <f aca="false">(5-ROUND(($H11-1)/3,0))</f>
        <v>5</v>
      </c>
      <c r="AE11" s="5" t="n">
        <f aca="false">IF($AD11&lt;$J11,$J11-MAX($AD11,$B11),0)</f>
        <v>0</v>
      </c>
      <c r="AG11" s="6" t="n">
        <f aca="false">VLOOKUP($F11,Category!$A$2:$AZ$20,24,0)</f>
        <v>0.111111111111111</v>
      </c>
      <c r="AH11" s="6" t="n">
        <f aca="false">VLOOKUP($F11,Category!$A$2:$AZ$20,26,0)</f>
        <v>1</v>
      </c>
      <c r="AI11" s="6" t="n">
        <f aca="false">VLOOKUP($E11,Role!$A$2:$O$9,6,0)</f>
        <v>0.666</v>
      </c>
      <c r="AJ11" s="6" t="n">
        <f aca="false">VLOOKUP($F11,Category!$A$2:$AZ$20,19,0)</f>
        <v>0.0909090909090909</v>
      </c>
      <c r="AK11" s="6" t="n">
        <f aca="false">VLOOKUP($F11,Category!$A$2:$AZ$20,21,0)</f>
        <v>0.818181818181818</v>
      </c>
      <c r="AL11" s="6" t="n">
        <f aca="false">VLOOKUP($E11,Role!$A$2:$O$9,7,0)</f>
        <v>0.666</v>
      </c>
      <c r="AM11" s="6" t="n">
        <f aca="false">VLOOKUP($F11,Category!$A$2:$AZ$20,19,0)</f>
        <v>0.0909090909090909</v>
      </c>
      <c r="AN11" s="6" t="n">
        <f aca="false">VLOOKUP($F11,Category!$A$2:$AZ$20,21,0)</f>
        <v>0.818181818181818</v>
      </c>
      <c r="AO11" s="6" t="n">
        <f aca="false">VLOOKUP($E11,Role!$A$2:$O$9,5,0)</f>
        <v>0.666</v>
      </c>
      <c r="AP11" s="6" t="n">
        <f aca="false">VLOOKUP($F11,Category!$A$2:$AZ$20,9,0)</f>
        <v>0.111111111111111</v>
      </c>
      <c r="AQ11" s="6" t="n">
        <f aca="false">VLOOKUP($F11,Category!$A$2:$AZ$20,11,0)</f>
        <v>0.888888888888889</v>
      </c>
      <c r="AR11" s="6" t="n">
        <f aca="false">VLOOKUP($F11,Category!$A$2:$AZ$20,10,0)</f>
        <v>1</v>
      </c>
      <c r="AS11" s="6" t="n">
        <f aca="false">VLOOKUP($E11,Role!$A$2:$O$9,4,0)</f>
        <v>0.666</v>
      </c>
      <c r="AT11" s="7" t="n">
        <f aca="false">VLOOKUP($F11,Category!$A$2:$AZ$20,14,0)</f>
        <v>0.333333333333333</v>
      </c>
      <c r="AU11" s="7" t="n">
        <f aca="false">VLOOKUP($F11,Category!$A$2:$AZ$20,16,0)</f>
        <v>0.5</v>
      </c>
      <c r="AV11" s="7" t="n">
        <f aca="false">VLOOKUP($D11,Size!$A$2:$Z$14,17,0)</f>
        <v>3</v>
      </c>
      <c r="AW11" s="7" t="n">
        <f aca="false">VLOOKUP($E11,Role!$A$2:$O$9,3,0)</f>
        <v>0.666</v>
      </c>
      <c r="AX11" s="7" t="n">
        <f aca="false">VLOOKUP($F11,Category!$A$2:$AZ$20,29,0)</f>
        <v>0.333333333333333</v>
      </c>
      <c r="AY11" s="7" t="n">
        <f aca="false">VLOOKUP($F11,Category!$A$2:$AZ$20,31,0)</f>
        <v>0.555555555555556</v>
      </c>
      <c r="AZ11" s="7" t="n">
        <f aca="false">VLOOKUP($D11,Size!$A$2:$Z$14,16,0)</f>
        <v>3</v>
      </c>
      <c r="BA11" s="7" t="n">
        <f aca="false">VLOOKUP($E11,Role!$A$2:$O$9,2,0)</f>
        <v>0.666</v>
      </c>
      <c r="BC11" s="7" t="n">
        <f aca="false">VLOOKUP($D11,Size!$A$2:$Z$14,19,0)</f>
        <v>10</v>
      </c>
      <c r="BD11" s="7" t="n">
        <f aca="false">VLOOKUP($D11,Size!$A$2:$Z$14,20,0)</f>
        <v>1</v>
      </c>
      <c r="BE11" s="7" t="n">
        <f aca="false">VLOOKUP($E11,Role!$A$2:$O$9,12,0)</f>
        <v>1.25</v>
      </c>
      <c r="BF11" s="7" t="n">
        <f aca="false">VLOOKUP($C11,Type!$A$2:$B$4,2,0)</f>
        <v>1</v>
      </c>
      <c r="BG11" s="7" t="n">
        <f aca="false">VLOOKUP($D11,Size!$A$2:$Z$14,18,0)</f>
        <v>13</v>
      </c>
      <c r="BH11" s="7" t="n">
        <f aca="false">INT($BF11*$BG11*$BE11*$B11/2)</f>
        <v>16</v>
      </c>
      <c r="BI11" s="7" t="n">
        <f aca="false">INT(($BC11*$BF11)+($I11*$BD11))</f>
        <v>12</v>
      </c>
      <c r="BJ11" s="7" t="n">
        <f aca="false">INT((($I11*$BE11)+$BC11)*$BF11)</f>
        <v>12</v>
      </c>
      <c r="BK11" s="14"/>
      <c r="BL11" s="7" t="n">
        <f aca="false">VLOOKUP($E11,Role!$A$2:$O$9,13,0)</f>
        <v>1.25</v>
      </c>
      <c r="BM11" s="7" t="n">
        <f aca="false">VLOOKUP($E11,Role!$A$2:$O$9,11,0)</f>
        <v>0.666</v>
      </c>
      <c r="BO11" s="7" t="n">
        <f aca="false">VLOOKUP($E11,Role!$A$2:$O$9,8,0)</f>
        <v>0.75</v>
      </c>
      <c r="BP11" s="7" t="n">
        <f aca="false">VLOOKUP($E11,Role!$A$2:$O$9,9,0)</f>
        <v>0.75</v>
      </c>
      <c r="BQ11" s="7" t="n">
        <f aca="false">VLOOKUP($E11,Role!$A$2:$O$9,10,0)</f>
        <v>0.5</v>
      </c>
    </row>
    <row r="12" customFormat="false" ht="12.8" hidden="false" customHeight="false" outlineLevel="0" collapsed="false">
      <c r="B12" s="2" t="n">
        <v>3</v>
      </c>
      <c r="C12" s="3" t="s">
        <v>63</v>
      </c>
      <c r="D12" s="1" t="s">
        <v>64</v>
      </c>
      <c r="E12" s="1" t="s">
        <v>69</v>
      </c>
      <c r="F12" s="1" t="s">
        <v>76</v>
      </c>
      <c r="G12" s="1" t="s">
        <v>67</v>
      </c>
      <c r="H12" s="4" t="n">
        <f aca="false">VLOOKUP($D12,Size!$A$2:$Z$14,6,0)</f>
        <v>1</v>
      </c>
      <c r="I12" s="13" t="n">
        <f aca="false">INT(($B12*$AZ12*$AX12*$BA12)+($B12*$AY12))</f>
        <v>3</v>
      </c>
      <c r="J12" s="4" t="n">
        <f aca="false">ROUND((($B12*$AT12)+($AV12*$AU12))*$AW12,0)</f>
        <v>2</v>
      </c>
      <c r="K12" s="4" t="n">
        <f aca="false">ROUND((($B12*$AP12)+($B12*$AQ12))*$AS12,0)</f>
        <v>3</v>
      </c>
      <c r="L12" s="4" t="n">
        <f aca="false">ROUND((($B12*$AM12)+($B12*$AN12))*$AO12,0)</f>
        <v>2</v>
      </c>
      <c r="M12" s="4" t="n">
        <f aca="false">ROUND((($B12*$AG12)+($B12*$AH12))*$AI12,0)</f>
        <v>3</v>
      </c>
      <c r="N12" s="4" t="n">
        <f aca="false">ROUND((($B12*$AJ12)+($B12*$AK12))*$AL12,0)</f>
        <v>2</v>
      </c>
      <c r="O12" s="4" t="n">
        <f aca="false">INT($BO12*$B12)</f>
        <v>1</v>
      </c>
      <c r="P12" s="4" t="n">
        <f aca="false">INT($BP12*$B12)</f>
        <v>2</v>
      </c>
      <c r="Q12" s="4" t="n">
        <f aca="false">INT($BQ12*$B12*$AR12)</f>
        <v>3</v>
      </c>
      <c r="R12" s="4" t="n">
        <f aca="false">IF($R$1="WT/G",INT(POWER($BH12*$BJ12*$BI12,0.333333)),0)+IF($R$1="WT/A",INT(($BH12+$BJ12+$BI12)/3),0)+IF($R$1="WT/A2",INT(($BJ12+$BI12)/2),0)+IF($R$1="WT/W",INT(($BH12+$BJ12+$BJ12+$BI12)/4),0)+IF($R$1="WT/W2",INT(($BH12+$BJ12+$BI12+$BI12)/4),0)+IF($R$1="WT/N",INT(MIN($BH12,$BJ12,$BI12)),0)+IF($R$1="WT/M",INT(MAX($BH12,$BJ12,$BI12)),0)+IF($R$1="WT/1",INT($BH12),0)+IF($R$1="WT/2",INT($BI12),0)+IF($R$1="WT/3",INT($BJ12),0)</f>
        <v>15</v>
      </c>
      <c r="S12" s="4" t="n">
        <f aca="false">INT((10+$M12)*$BL12)</f>
        <v>13</v>
      </c>
      <c r="T12" s="4" t="n">
        <f aca="false">INT($I12*$BM12*$BF12)</f>
        <v>0</v>
      </c>
      <c r="U12" s="2" t="n">
        <f aca="false">ROUND(MAX($J12,$L12)+(MIN($J12,$L12)*$X12),0)</f>
        <v>3</v>
      </c>
      <c r="V12" s="2" t="n">
        <f aca="false">MAX(1,INT(((MIN($I12:$J12)+(MAX($I12:$J12)*$H12*$Y12)))*$Z12))</f>
        <v>5</v>
      </c>
      <c r="X12" s="5" t="n">
        <f aca="false">VLOOKUP($E12,Role!$A$2:$O$9,14,0)</f>
        <v>0.5</v>
      </c>
      <c r="Y12" s="5" t="n">
        <f aca="false">VLOOKUP($E12,Role!$A$2:$O$9,15,0)</f>
        <v>1</v>
      </c>
      <c r="Z12" s="5" t="n">
        <f aca="false">VLOOKUP($G12,Movement!$A$2:$C$7,3,0)</f>
        <v>1</v>
      </c>
      <c r="AB12" s="5" t="n">
        <f aca="false">INT(5+(($H12-1)/3))</f>
        <v>5</v>
      </c>
      <c r="AC12" s="5" t="n">
        <f aca="false">IF($AB12&lt;$I12,$I12-MAX($AB12,$B12),0)</f>
        <v>0</v>
      </c>
      <c r="AD12" s="5" t="n">
        <f aca="false">(5-ROUND(($H12-1)/3,0))</f>
        <v>5</v>
      </c>
      <c r="AE12" s="5" t="n">
        <f aca="false">IF($AD12&lt;$J12,$J12-MAX($AD12,$B12),0)</f>
        <v>0</v>
      </c>
      <c r="AG12" s="6" t="n">
        <f aca="false">VLOOKUP($F12,Category!$A$2:$AZ$20,24,0)</f>
        <v>0</v>
      </c>
      <c r="AH12" s="6" t="n">
        <f aca="false">VLOOKUP($F12,Category!$A$2:$AZ$20,26,0)</f>
        <v>1.11111111111111</v>
      </c>
      <c r="AI12" s="6" t="n">
        <f aca="false">VLOOKUP($E12,Role!$A$2:$O$9,6,0)</f>
        <v>1</v>
      </c>
      <c r="AJ12" s="6" t="n">
        <f aca="false">VLOOKUP($F12,Category!$A$2:$AZ$20,19,0)</f>
        <v>0.363636363636364</v>
      </c>
      <c r="AK12" s="6" t="n">
        <f aca="false">VLOOKUP($F12,Category!$A$2:$AZ$20,21,0)</f>
        <v>0.272727272727273</v>
      </c>
      <c r="AL12" s="6" t="n">
        <f aca="false">VLOOKUP($E12,Role!$A$2:$O$9,7,0)</f>
        <v>1</v>
      </c>
      <c r="AM12" s="6" t="n">
        <f aca="false">VLOOKUP($F12,Category!$A$2:$AZ$20,19,0)</f>
        <v>0.363636363636364</v>
      </c>
      <c r="AN12" s="6" t="n">
        <f aca="false">VLOOKUP($F12,Category!$A$2:$AZ$20,21,0)</f>
        <v>0.272727272727273</v>
      </c>
      <c r="AO12" s="6" t="n">
        <f aca="false">VLOOKUP($E12,Role!$A$2:$O$9,5,0)</f>
        <v>1.2</v>
      </c>
      <c r="AP12" s="6" t="n">
        <f aca="false">VLOOKUP($F12,Category!$A$2:$AZ$20,9,0)</f>
        <v>0.444444444444444</v>
      </c>
      <c r="AQ12" s="6" t="n">
        <f aca="false">VLOOKUP($F12,Category!$A$2:$AZ$20,11,0)</f>
        <v>0.666666666666667</v>
      </c>
      <c r="AR12" s="6" t="n">
        <f aca="false">VLOOKUP($F12,Category!$A$2:$AZ$20,10,0)</f>
        <v>1.11111111111111</v>
      </c>
      <c r="AS12" s="6" t="n">
        <f aca="false">VLOOKUP($E12,Role!$A$2:$O$9,4,0)</f>
        <v>1</v>
      </c>
      <c r="AT12" s="7" t="n">
        <f aca="false">VLOOKUP($F12,Category!$A$2:$AZ$20,14,0)</f>
        <v>0.333333333333333</v>
      </c>
      <c r="AU12" s="7" t="n">
        <f aca="false">VLOOKUP($F12,Category!$A$2:$AZ$20,16,0)</f>
        <v>0.25</v>
      </c>
      <c r="AV12" s="7" t="n">
        <f aca="false">VLOOKUP($D12,Size!$A$2:$Z$14,17,0)</f>
        <v>3</v>
      </c>
      <c r="AW12" s="7" t="n">
        <f aca="false">VLOOKUP($E12,Role!$A$2:$O$9,3,0)</f>
        <v>1</v>
      </c>
      <c r="AX12" s="7" t="n">
        <f aca="false">VLOOKUP($F12,Category!$A$2:$AZ$20,29,0)</f>
        <v>0.333333333333333</v>
      </c>
      <c r="AY12" s="7" t="n">
        <f aca="false">VLOOKUP($F12,Category!$A$2:$AZ$20,31,0)</f>
        <v>0.416666666666667</v>
      </c>
      <c r="AZ12" s="7" t="n">
        <f aca="false">VLOOKUP($D12,Size!$A$2:$Z$14,16,0)</f>
        <v>3</v>
      </c>
      <c r="BA12" s="7" t="n">
        <f aca="false">VLOOKUP($E12,Role!$A$2:$O$9,2,0)</f>
        <v>0.6</v>
      </c>
      <c r="BC12" s="7" t="n">
        <f aca="false">VLOOKUP($D12,Size!$A$2:$Z$14,19,0)</f>
        <v>10</v>
      </c>
      <c r="BD12" s="7" t="n">
        <f aca="false">VLOOKUP($D12,Size!$A$2:$Z$14,20,0)</f>
        <v>1</v>
      </c>
      <c r="BE12" s="7" t="n">
        <f aca="false">VLOOKUP($E12,Role!$A$2:$O$9,12,0)</f>
        <v>1.25</v>
      </c>
      <c r="BF12" s="7" t="n">
        <f aca="false">VLOOKUP($C12,Type!$A$2:$B$4,2,0)</f>
        <v>1</v>
      </c>
      <c r="BG12" s="7" t="n">
        <f aca="false">VLOOKUP($D12,Size!$A$2:$Z$14,18,0)</f>
        <v>13</v>
      </c>
      <c r="BH12" s="7" t="n">
        <f aca="false">INT($BF12*$BG12*$BE12*$B12/2)</f>
        <v>24</v>
      </c>
      <c r="BI12" s="7" t="n">
        <f aca="false">INT(($BC12*$BF12)+($I12*$BD12))</f>
        <v>13</v>
      </c>
      <c r="BJ12" s="7" t="n">
        <f aca="false">INT((($I12*$BE12)+$BC12)*$BF12)</f>
        <v>13</v>
      </c>
      <c r="BK12" s="14"/>
      <c r="BL12" s="7" t="n">
        <f aca="false">VLOOKUP($E12,Role!$A$2:$O$9,13,0)</f>
        <v>1</v>
      </c>
      <c r="BM12" s="7" t="n">
        <f aca="false">VLOOKUP($E12,Role!$A$2:$O$9,11,0)</f>
        <v>0.333</v>
      </c>
      <c r="BO12" s="7" t="n">
        <f aca="false">VLOOKUP($E12,Role!$A$2:$O$9,8,0)</f>
        <v>0.5</v>
      </c>
      <c r="BP12" s="7" t="n">
        <f aca="false">VLOOKUP($E12,Role!$A$2:$O$9,9,0)</f>
        <v>0.75</v>
      </c>
      <c r="BQ12" s="7" t="n">
        <f aca="false">VLOOKUP($E12,Role!$A$2:$O$9,10,0)</f>
        <v>1</v>
      </c>
    </row>
    <row r="13" customFormat="false" ht="12.8" hidden="false" customHeight="false" outlineLevel="0" collapsed="false">
      <c r="B13" s="2" t="n">
        <v>2</v>
      </c>
      <c r="C13" s="3" t="s">
        <v>63</v>
      </c>
      <c r="D13" s="1" t="s">
        <v>64</v>
      </c>
      <c r="E13" s="1" t="s">
        <v>70</v>
      </c>
      <c r="F13" s="1" t="s">
        <v>75</v>
      </c>
      <c r="G13" s="1" t="s">
        <v>67</v>
      </c>
      <c r="H13" s="4" t="n">
        <f aca="false">VLOOKUP($D13,Size!$A$2:$Z$14,6,0)</f>
        <v>1</v>
      </c>
      <c r="I13" s="13" t="n">
        <f aca="false">INT(($B13*$AZ13*$AX13*$BA13)+($B13*$AY13))</f>
        <v>2</v>
      </c>
      <c r="J13" s="4" t="n">
        <f aca="false">ROUND((($B13*$AT13)+($AV13*$AU13))*$AW13,0)</f>
        <v>1</v>
      </c>
      <c r="K13" s="4" t="n">
        <f aca="false">ROUND((($B13*$AP13)+($B13*$AQ13))*$AS13,0)</f>
        <v>1</v>
      </c>
      <c r="L13" s="4" t="n">
        <f aca="false">ROUND((($B13*$AM13)+($B13*$AN13))*$AO13,0)</f>
        <v>1</v>
      </c>
      <c r="M13" s="4" t="n">
        <f aca="false">ROUND((($B13*$AG13)+($B13*$AH13))*$AI13,0)</f>
        <v>1</v>
      </c>
      <c r="N13" s="4" t="n">
        <f aca="false">ROUND((($B13*$AJ13)+($B13*$AK13))*$AL13,0)</f>
        <v>1</v>
      </c>
      <c r="O13" s="4" t="n">
        <f aca="false">INT($BO13*$B13)</f>
        <v>1</v>
      </c>
      <c r="P13" s="4" t="n">
        <f aca="false">INT($BP13*$B13)</f>
        <v>1</v>
      </c>
      <c r="Q13" s="4" t="n">
        <f aca="false">INT($BQ13*$B13*$AR13)</f>
        <v>1</v>
      </c>
      <c r="R13" s="4" t="n">
        <f aca="false">IF($R$1="WT/G",INT(POWER($BH13*$BJ13*$BI13,0.333333)),0)+IF($R$1="WT/A",INT(($BH13+$BJ13+$BI13)/3),0)+IF($R$1="WT/A2",INT(($BJ13+$BI13)/2),0)+IF($R$1="WT/W",INT(($BH13+$BJ13+$BJ13+$BI13)/4),0)+IF($R$1="WT/W2",INT(($BH13+$BJ13+$BI13+$BI13)/4),0)+IF($R$1="WT/N",INT(MIN($BH13,$BJ13,$BI13)),0)+IF($R$1="WT/M",INT(MAX($BH13,$BJ13,$BI13)),0)+IF($R$1="WT/1",INT($BH13),0)+IF($R$1="WT/2",INT($BI13),0)+IF($R$1="WT/3",INT($BJ13),0)</f>
        <v>13</v>
      </c>
      <c r="S13" s="4" t="n">
        <f aca="false">INT((10+$M13)*$BL13)</f>
        <v>13</v>
      </c>
      <c r="T13" s="4" t="n">
        <f aca="false">INT($I13*$BM13*$BF13)</f>
        <v>1</v>
      </c>
      <c r="U13" s="2" t="n">
        <f aca="false">ROUND(MAX($J13,$L13)+(MIN($J13,$L13)*$X13),0)</f>
        <v>2</v>
      </c>
      <c r="V13" s="2" t="n">
        <f aca="false">MAX(1,INT(((MIN($I13:$J13)+(MAX($I13:$J13)*$H13*$Y13)))*$Z13))</f>
        <v>3</v>
      </c>
      <c r="X13" s="5" t="n">
        <f aca="false">VLOOKUP($E13,Role!$A$2:$O$9,14,0)</f>
        <v>1</v>
      </c>
      <c r="Y13" s="5" t="n">
        <f aca="false">VLOOKUP($E13,Role!$A$2:$O$9,15,0)</f>
        <v>1</v>
      </c>
      <c r="Z13" s="5" t="n">
        <f aca="false">VLOOKUP($G13,Movement!$A$2:$C$7,3,0)</f>
        <v>1</v>
      </c>
      <c r="AB13" s="5" t="n">
        <f aca="false">INT(5+(($H13-1)/3))</f>
        <v>5</v>
      </c>
      <c r="AC13" s="5" t="n">
        <f aca="false">IF($AB13&lt;$I13,$I13-MAX($AB13,$B13),0)</f>
        <v>0</v>
      </c>
      <c r="AD13" s="5" t="n">
        <f aca="false">(5-ROUND(($H13-1)/3,0))</f>
        <v>5</v>
      </c>
      <c r="AE13" s="5" t="n">
        <f aca="false">IF($AD13&lt;$J13,$J13-MAX($AD13,$B13),0)</f>
        <v>0</v>
      </c>
      <c r="AG13" s="6" t="n">
        <f aca="false">VLOOKUP($F13,Category!$A$2:$AZ$20,24,0)</f>
        <v>0.111111111111111</v>
      </c>
      <c r="AH13" s="6" t="n">
        <f aca="false">VLOOKUP($F13,Category!$A$2:$AZ$20,26,0)</f>
        <v>1</v>
      </c>
      <c r="AI13" s="6" t="n">
        <f aca="false">VLOOKUP($E13,Role!$A$2:$O$9,6,0)</f>
        <v>0.666</v>
      </c>
      <c r="AJ13" s="6" t="n">
        <f aca="false">VLOOKUP($F13,Category!$A$2:$AZ$20,19,0)</f>
        <v>0.0909090909090909</v>
      </c>
      <c r="AK13" s="6" t="n">
        <f aca="false">VLOOKUP($F13,Category!$A$2:$AZ$20,21,0)</f>
        <v>0.818181818181818</v>
      </c>
      <c r="AL13" s="6" t="n">
        <f aca="false">VLOOKUP($E13,Role!$A$2:$O$9,7,0)</f>
        <v>0.666</v>
      </c>
      <c r="AM13" s="6" t="n">
        <f aca="false">VLOOKUP($F13,Category!$A$2:$AZ$20,19,0)</f>
        <v>0.0909090909090909</v>
      </c>
      <c r="AN13" s="6" t="n">
        <f aca="false">VLOOKUP($F13,Category!$A$2:$AZ$20,21,0)</f>
        <v>0.818181818181818</v>
      </c>
      <c r="AO13" s="6" t="n">
        <f aca="false">VLOOKUP($E13,Role!$A$2:$O$9,5,0)</f>
        <v>0.666</v>
      </c>
      <c r="AP13" s="6" t="n">
        <f aca="false">VLOOKUP($F13,Category!$A$2:$AZ$20,9,0)</f>
        <v>0.111111111111111</v>
      </c>
      <c r="AQ13" s="6" t="n">
        <f aca="false">VLOOKUP($F13,Category!$A$2:$AZ$20,11,0)</f>
        <v>0.888888888888889</v>
      </c>
      <c r="AR13" s="6" t="n">
        <f aca="false">VLOOKUP($F13,Category!$A$2:$AZ$20,10,0)</f>
        <v>1</v>
      </c>
      <c r="AS13" s="6" t="n">
        <f aca="false">VLOOKUP($E13,Role!$A$2:$O$9,4,0)</f>
        <v>0.666</v>
      </c>
      <c r="AT13" s="7" t="n">
        <f aca="false">VLOOKUP($F13,Category!$A$2:$AZ$20,14,0)</f>
        <v>0.333333333333333</v>
      </c>
      <c r="AU13" s="7" t="n">
        <f aca="false">VLOOKUP($F13,Category!$A$2:$AZ$20,16,0)</f>
        <v>0.5</v>
      </c>
      <c r="AV13" s="7" t="n">
        <f aca="false">VLOOKUP($D13,Size!$A$2:$Z$14,17,0)</f>
        <v>3</v>
      </c>
      <c r="AW13" s="7" t="n">
        <f aca="false">VLOOKUP($E13,Role!$A$2:$O$9,3,0)</f>
        <v>0.666</v>
      </c>
      <c r="AX13" s="7" t="n">
        <f aca="false">VLOOKUP($F13,Category!$A$2:$AZ$20,29,0)</f>
        <v>0.333333333333333</v>
      </c>
      <c r="AY13" s="7" t="n">
        <f aca="false">VLOOKUP($F13,Category!$A$2:$AZ$20,31,0)</f>
        <v>0.555555555555556</v>
      </c>
      <c r="AZ13" s="7" t="n">
        <f aca="false">VLOOKUP($D13,Size!$A$2:$Z$14,16,0)</f>
        <v>3</v>
      </c>
      <c r="BA13" s="7" t="n">
        <f aca="false">VLOOKUP($E13,Role!$A$2:$O$9,2,0)</f>
        <v>0.666</v>
      </c>
      <c r="BC13" s="7" t="n">
        <f aca="false">VLOOKUP($D13,Size!$A$2:$Z$14,19,0)</f>
        <v>10</v>
      </c>
      <c r="BD13" s="7" t="n">
        <f aca="false">VLOOKUP($D13,Size!$A$2:$Z$14,20,0)</f>
        <v>1</v>
      </c>
      <c r="BE13" s="7" t="n">
        <f aca="false">VLOOKUP($E13,Role!$A$2:$O$9,12,0)</f>
        <v>1.25</v>
      </c>
      <c r="BF13" s="7" t="n">
        <f aca="false">VLOOKUP($C13,Type!$A$2:$B$4,2,0)</f>
        <v>1</v>
      </c>
      <c r="BG13" s="7" t="n">
        <f aca="false">VLOOKUP($D13,Size!$A$2:$Z$14,18,0)</f>
        <v>13</v>
      </c>
      <c r="BH13" s="7" t="n">
        <f aca="false">INT($BF13*$BG13*$BE13*$B13/2)</f>
        <v>16</v>
      </c>
      <c r="BI13" s="7" t="n">
        <f aca="false">INT(($BC13*$BF13)+($I13*$BD13))</f>
        <v>12</v>
      </c>
      <c r="BJ13" s="7" t="n">
        <f aca="false">INT((($I13*$BE13)+$BC13)*$BF13)</f>
        <v>12</v>
      </c>
      <c r="BK13" s="14"/>
      <c r="BL13" s="7" t="n">
        <f aca="false">VLOOKUP($E13,Role!$A$2:$O$9,13,0)</f>
        <v>1.25</v>
      </c>
      <c r="BM13" s="7" t="n">
        <f aca="false">VLOOKUP($E13,Role!$A$2:$O$9,11,0)</f>
        <v>0.666</v>
      </c>
      <c r="BO13" s="7" t="n">
        <f aca="false">VLOOKUP($E13,Role!$A$2:$O$9,8,0)</f>
        <v>0.75</v>
      </c>
      <c r="BP13" s="7" t="n">
        <f aca="false">VLOOKUP($E13,Role!$A$2:$O$9,9,0)</f>
        <v>0.75</v>
      </c>
      <c r="BQ13" s="7" t="n">
        <f aca="false">VLOOKUP($E13,Role!$A$2:$O$9,10,0)</f>
        <v>0.5</v>
      </c>
    </row>
    <row r="14" customFormat="false" ht="12.8" hidden="false" customHeight="false" outlineLevel="0" collapsed="false">
      <c r="B14" s="2" t="n">
        <v>2</v>
      </c>
      <c r="C14" s="3" t="s">
        <v>63</v>
      </c>
      <c r="D14" s="1" t="s">
        <v>64</v>
      </c>
      <c r="E14" s="1" t="s">
        <v>70</v>
      </c>
      <c r="F14" s="1" t="s">
        <v>75</v>
      </c>
      <c r="G14" s="1" t="s">
        <v>67</v>
      </c>
      <c r="H14" s="4" t="n">
        <f aca="false">VLOOKUP($D14,Size!$A$2:$Z$14,6,0)</f>
        <v>1</v>
      </c>
      <c r="I14" s="13" t="n">
        <f aca="false">INT(($B14*$AZ14*$AX14*$BA14)+($B14*$AY14))</f>
        <v>2</v>
      </c>
      <c r="J14" s="4" t="n">
        <f aca="false">ROUND((($B14*$AT14)+($AV14*$AU14))*$AW14,0)</f>
        <v>1</v>
      </c>
      <c r="K14" s="4" t="n">
        <f aca="false">ROUND((($B14*$AP14)+($B14*$AQ14))*$AS14,0)</f>
        <v>1</v>
      </c>
      <c r="L14" s="4" t="n">
        <f aca="false">ROUND((($B14*$AM14)+($B14*$AN14))*$AO14,0)</f>
        <v>1</v>
      </c>
      <c r="M14" s="4" t="n">
        <f aca="false">ROUND((($B14*$AG14)+($B14*$AH14))*$AI14,0)</f>
        <v>1</v>
      </c>
      <c r="N14" s="4" t="n">
        <f aca="false">ROUND((($B14*$AJ14)+($B14*$AK14))*$AL14,0)</f>
        <v>1</v>
      </c>
      <c r="O14" s="4" t="n">
        <f aca="false">INT($BO14*$B14)</f>
        <v>1</v>
      </c>
      <c r="P14" s="4" t="n">
        <f aca="false">INT($BP14*$B14)</f>
        <v>1</v>
      </c>
      <c r="Q14" s="4" t="n">
        <f aca="false">INT($BQ14*$B14*$AR14)</f>
        <v>1</v>
      </c>
      <c r="R14" s="4" t="n">
        <f aca="false">IF($R$1="WT/G",INT(POWER($BH14*$BJ14*$BI14,0.333333)),0)+IF($R$1="WT/A",INT(($BH14+$BJ14+$BI14)/3),0)+IF($R$1="WT/A2",INT(($BJ14+$BI14)/2),0)+IF($R$1="WT/W",INT(($BH14+$BJ14+$BJ14+$BI14)/4),0)+IF($R$1="WT/W2",INT(($BH14+$BJ14+$BI14+$BI14)/4),0)+IF($R$1="WT/N",INT(MIN($BH14,$BJ14,$BI14)),0)+IF($R$1="WT/M",INT(MAX($BH14,$BJ14,$BI14)),0)+IF($R$1="WT/1",INT($BH14),0)+IF($R$1="WT/2",INT($BI14),0)+IF($R$1="WT/3",INT($BJ14),0)</f>
        <v>13</v>
      </c>
      <c r="S14" s="4" t="n">
        <f aca="false">INT((10+$M14)*$BL14)</f>
        <v>13</v>
      </c>
      <c r="T14" s="4" t="n">
        <f aca="false">INT($I14*$BM14*$BF14)</f>
        <v>1</v>
      </c>
      <c r="U14" s="2" t="n">
        <f aca="false">ROUND(MAX($J14,$L14)+(MIN($J14,$L14)*$X14),0)</f>
        <v>2</v>
      </c>
      <c r="V14" s="2" t="n">
        <f aca="false">MAX(1,INT(((MIN($I14:$J14)+(MAX($I14:$J14)*$H14*$Y14)))*$Z14))</f>
        <v>3</v>
      </c>
      <c r="X14" s="5" t="n">
        <f aca="false">VLOOKUP($E14,Role!$A$2:$O$9,14,0)</f>
        <v>1</v>
      </c>
      <c r="Y14" s="5" t="n">
        <f aca="false">VLOOKUP($E14,Role!$A$2:$O$9,15,0)</f>
        <v>1</v>
      </c>
      <c r="Z14" s="5" t="n">
        <f aca="false">VLOOKUP($G14,Movement!$A$2:$C$7,3,0)</f>
        <v>1</v>
      </c>
      <c r="AB14" s="5" t="n">
        <f aca="false">INT(5+(($H14-1)/3))</f>
        <v>5</v>
      </c>
      <c r="AC14" s="5" t="n">
        <f aca="false">IF($AB14&lt;$I14,$I14-MAX($AB14,$B14),0)</f>
        <v>0</v>
      </c>
      <c r="AD14" s="5" t="n">
        <f aca="false">(5-ROUND(($H14-1)/3,0))</f>
        <v>5</v>
      </c>
      <c r="AE14" s="5" t="n">
        <f aca="false">IF($AD14&lt;$J14,$J14-MAX($AD14,$B14),0)</f>
        <v>0</v>
      </c>
      <c r="AG14" s="6" t="n">
        <f aca="false">VLOOKUP($F14,Category!$A$2:$AZ$20,24,0)</f>
        <v>0.111111111111111</v>
      </c>
      <c r="AH14" s="6" t="n">
        <f aca="false">VLOOKUP($F14,Category!$A$2:$AZ$20,26,0)</f>
        <v>1</v>
      </c>
      <c r="AI14" s="6" t="n">
        <f aca="false">VLOOKUP($E14,Role!$A$2:$O$9,6,0)</f>
        <v>0.666</v>
      </c>
      <c r="AJ14" s="6" t="n">
        <f aca="false">VLOOKUP($F14,Category!$A$2:$AZ$20,19,0)</f>
        <v>0.0909090909090909</v>
      </c>
      <c r="AK14" s="6" t="n">
        <f aca="false">VLOOKUP($F14,Category!$A$2:$AZ$20,21,0)</f>
        <v>0.818181818181818</v>
      </c>
      <c r="AL14" s="6" t="n">
        <f aca="false">VLOOKUP($E14,Role!$A$2:$O$9,7,0)</f>
        <v>0.666</v>
      </c>
      <c r="AM14" s="6" t="n">
        <f aca="false">VLOOKUP($F14,Category!$A$2:$AZ$20,19,0)</f>
        <v>0.0909090909090909</v>
      </c>
      <c r="AN14" s="6" t="n">
        <f aca="false">VLOOKUP($F14,Category!$A$2:$AZ$20,21,0)</f>
        <v>0.818181818181818</v>
      </c>
      <c r="AO14" s="6" t="n">
        <f aca="false">VLOOKUP($E14,Role!$A$2:$O$9,5,0)</f>
        <v>0.666</v>
      </c>
      <c r="AP14" s="6" t="n">
        <f aca="false">VLOOKUP($F14,Category!$A$2:$AZ$20,9,0)</f>
        <v>0.111111111111111</v>
      </c>
      <c r="AQ14" s="6" t="n">
        <f aca="false">VLOOKUP($F14,Category!$A$2:$AZ$20,11,0)</f>
        <v>0.888888888888889</v>
      </c>
      <c r="AR14" s="6" t="n">
        <f aca="false">VLOOKUP($F14,Category!$A$2:$AZ$20,10,0)</f>
        <v>1</v>
      </c>
      <c r="AS14" s="6" t="n">
        <f aca="false">VLOOKUP($E14,Role!$A$2:$O$9,4,0)</f>
        <v>0.666</v>
      </c>
      <c r="AT14" s="7" t="n">
        <f aca="false">VLOOKUP($F14,Category!$A$2:$AZ$20,14,0)</f>
        <v>0.333333333333333</v>
      </c>
      <c r="AU14" s="7" t="n">
        <f aca="false">VLOOKUP($F14,Category!$A$2:$AZ$20,16,0)</f>
        <v>0.5</v>
      </c>
      <c r="AV14" s="7" t="n">
        <f aca="false">VLOOKUP($D14,Size!$A$2:$Z$14,17,0)</f>
        <v>3</v>
      </c>
      <c r="AW14" s="7" t="n">
        <f aca="false">VLOOKUP($E14,Role!$A$2:$O$9,3,0)</f>
        <v>0.666</v>
      </c>
      <c r="AX14" s="7" t="n">
        <f aca="false">VLOOKUP($F14,Category!$A$2:$AZ$20,29,0)</f>
        <v>0.333333333333333</v>
      </c>
      <c r="AY14" s="7" t="n">
        <f aca="false">VLOOKUP($F14,Category!$A$2:$AZ$20,31,0)</f>
        <v>0.555555555555556</v>
      </c>
      <c r="AZ14" s="7" t="n">
        <f aca="false">VLOOKUP($D14,Size!$A$2:$Z$14,16,0)</f>
        <v>3</v>
      </c>
      <c r="BA14" s="7" t="n">
        <f aca="false">VLOOKUP($E14,Role!$A$2:$O$9,2,0)</f>
        <v>0.666</v>
      </c>
      <c r="BC14" s="7" t="n">
        <f aca="false">VLOOKUP($D14,Size!$A$2:$Z$14,19,0)</f>
        <v>10</v>
      </c>
      <c r="BD14" s="7" t="n">
        <f aca="false">VLOOKUP($D14,Size!$A$2:$Z$14,20,0)</f>
        <v>1</v>
      </c>
      <c r="BE14" s="7" t="n">
        <f aca="false">VLOOKUP($E14,Role!$A$2:$O$9,12,0)</f>
        <v>1.25</v>
      </c>
      <c r="BF14" s="7" t="n">
        <f aca="false">VLOOKUP($C14,Type!$A$2:$B$4,2,0)</f>
        <v>1</v>
      </c>
      <c r="BG14" s="7" t="n">
        <f aca="false">VLOOKUP($D14,Size!$A$2:$Z$14,18,0)</f>
        <v>13</v>
      </c>
      <c r="BH14" s="7" t="n">
        <f aca="false">INT($BF14*$BG14*$BE14*$B14/2)</f>
        <v>16</v>
      </c>
      <c r="BI14" s="7" t="n">
        <f aca="false">INT(($BC14*$BF14)+($I14*$BD14))</f>
        <v>12</v>
      </c>
      <c r="BJ14" s="7" t="n">
        <f aca="false">INT((($I14*$BE14)+$BC14)*$BF14)</f>
        <v>12</v>
      </c>
      <c r="BK14" s="14"/>
      <c r="BL14" s="7" t="n">
        <f aca="false">VLOOKUP($E14,Role!$A$2:$O$9,13,0)</f>
        <v>1.25</v>
      </c>
      <c r="BM14" s="7" t="n">
        <f aca="false">VLOOKUP($E14,Role!$A$2:$O$9,11,0)</f>
        <v>0.666</v>
      </c>
      <c r="BO14" s="7" t="n">
        <f aca="false">VLOOKUP($E14,Role!$A$2:$O$9,8,0)</f>
        <v>0.75</v>
      </c>
      <c r="BP14" s="7" t="n">
        <f aca="false">VLOOKUP($E14,Role!$A$2:$O$9,9,0)</f>
        <v>0.75</v>
      </c>
      <c r="BQ14" s="7" t="n">
        <f aca="false">VLOOKUP($E14,Role!$A$2:$O$9,10,0)</f>
        <v>0.5</v>
      </c>
    </row>
    <row r="15" customFormat="false" ht="12.8" hidden="false" customHeight="false" outlineLevel="0" collapsed="false">
      <c r="B15" s="2" t="n">
        <v>2</v>
      </c>
      <c r="C15" s="3" t="s">
        <v>63</v>
      </c>
      <c r="D15" s="1" t="s">
        <v>64</v>
      </c>
      <c r="E15" s="1" t="s">
        <v>70</v>
      </c>
      <c r="F15" s="1" t="s">
        <v>75</v>
      </c>
      <c r="G15" s="1" t="s">
        <v>67</v>
      </c>
      <c r="H15" s="4" t="n">
        <f aca="false">VLOOKUP($D15,Size!$A$2:$Z$14,6,0)</f>
        <v>1</v>
      </c>
      <c r="I15" s="13" t="n">
        <f aca="false">INT(($B15*$AZ15*$AX15*$BA15)+($B15*$AY15))</f>
        <v>2</v>
      </c>
      <c r="J15" s="4" t="n">
        <f aca="false">ROUND((($B15*$AT15)+($AV15*$AU15))*$AW15,0)</f>
        <v>1</v>
      </c>
      <c r="K15" s="4" t="n">
        <f aca="false">ROUND((($B15*$AP15)+($B15*$AQ15))*$AS15,0)</f>
        <v>1</v>
      </c>
      <c r="L15" s="4" t="n">
        <f aca="false">ROUND((($B15*$AM15)+($B15*$AN15))*$AO15,0)</f>
        <v>1</v>
      </c>
      <c r="M15" s="4" t="n">
        <f aca="false">ROUND((($B15*$AG15)+($B15*$AH15))*$AI15,0)</f>
        <v>1</v>
      </c>
      <c r="N15" s="4" t="n">
        <f aca="false">ROUND((($B15*$AJ15)+($B15*$AK15))*$AL15,0)</f>
        <v>1</v>
      </c>
      <c r="O15" s="4" t="n">
        <f aca="false">INT($BO15*$B15)</f>
        <v>1</v>
      </c>
      <c r="P15" s="4" t="n">
        <f aca="false">INT($BP15*$B15)</f>
        <v>1</v>
      </c>
      <c r="Q15" s="4" t="n">
        <f aca="false">INT($BQ15*$B15*$AR15)</f>
        <v>1</v>
      </c>
      <c r="R15" s="4" t="n">
        <f aca="false">IF($R$1="WT/G",INT(POWER($BH15*$BJ15*$BI15,0.333333)),0)+IF($R$1="WT/A",INT(($BH15+$BJ15+$BI15)/3),0)+IF($R$1="WT/A2",INT(($BJ15+$BI15)/2),0)+IF($R$1="WT/W",INT(($BH15+$BJ15+$BJ15+$BI15)/4),0)+IF($R$1="WT/W2",INT(($BH15+$BJ15+$BI15+$BI15)/4),0)+IF($R$1="WT/N",INT(MIN($BH15,$BJ15,$BI15)),0)+IF($R$1="WT/M",INT(MAX($BH15,$BJ15,$BI15)),0)+IF($R$1="WT/1",INT($BH15),0)+IF($R$1="WT/2",INT($BI15),0)+IF($R$1="WT/3",INT($BJ15),0)</f>
        <v>13</v>
      </c>
      <c r="S15" s="4" t="n">
        <f aca="false">INT((10+$M15)*$BL15)</f>
        <v>13</v>
      </c>
      <c r="T15" s="4" t="n">
        <f aca="false">INT($I15*$BM15*$BF15)</f>
        <v>1</v>
      </c>
      <c r="U15" s="2" t="n">
        <f aca="false">ROUND(MAX($J15,$L15)+(MIN($J15,$L15)*$X15),0)</f>
        <v>2</v>
      </c>
      <c r="V15" s="2" t="n">
        <f aca="false">MAX(1,INT(((MIN($I15:$J15)+(MAX($I15:$J15)*$H15*$Y15)))*$Z15))</f>
        <v>3</v>
      </c>
      <c r="X15" s="5" t="n">
        <f aca="false">VLOOKUP($E15,Role!$A$2:$O$9,14,0)</f>
        <v>1</v>
      </c>
      <c r="Y15" s="5" t="n">
        <f aca="false">VLOOKUP($E15,Role!$A$2:$O$9,15,0)</f>
        <v>1</v>
      </c>
      <c r="Z15" s="5" t="n">
        <f aca="false">VLOOKUP($G15,Movement!$A$2:$C$7,3,0)</f>
        <v>1</v>
      </c>
      <c r="AB15" s="5" t="n">
        <f aca="false">INT(5+(($H15-1)/3))</f>
        <v>5</v>
      </c>
      <c r="AC15" s="5" t="n">
        <f aca="false">IF($AB15&lt;$I15,$I15-MAX($AB15,$B15),0)</f>
        <v>0</v>
      </c>
      <c r="AD15" s="5" t="n">
        <f aca="false">(5-ROUND(($H15-1)/3,0))</f>
        <v>5</v>
      </c>
      <c r="AE15" s="5" t="n">
        <f aca="false">IF($AD15&lt;$J15,$J15-MAX($AD15,$B15),0)</f>
        <v>0</v>
      </c>
      <c r="AG15" s="6" t="n">
        <f aca="false">VLOOKUP($F15,Category!$A$2:$AZ$20,24,0)</f>
        <v>0.111111111111111</v>
      </c>
      <c r="AH15" s="6" t="n">
        <f aca="false">VLOOKUP($F15,Category!$A$2:$AZ$20,26,0)</f>
        <v>1</v>
      </c>
      <c r="AI15" s="6" t="n">
        <f aca="false">VLOOKUP($E15,Role!$A$2:$O$9,6,0)</f>
        <v>0.666</v>
      </c>
      <c r="AJ15" s="6" t="n">
        <f aca="false">VLOOKUP($F15,Category!$A$2:$AZ$20,19,0)</f>
        <v>0.0909090909090909</v>
      </c>
      <c r="AK15" s="6" t="n">
        <f aca="false">VLOOKUP($F15,Category!$A$2:$AZ$20,21,0)</f>
        <v>0.818181818181818</v>
      </c>
      <c r="AL15" s="6" t="n">
        <f aca="false">VLOOKUP($E15,Role!$A$2:$O$9,7,0)</f>
        <v>0.666</v>
      </c>
      <c r="AM15" s="6" t="n">
        <f aca="false">VLOOKUP($F15,Category!$A$2:$AZ$20,19,0)</f>
        <v>0.0909090909090909</v>
      </c>
      <c r="AN15" s="6" t="n">
        <f aca="false">VLOOKUP($F15,Category!$A$2:$AZ$20,21,0)</f>
        <v>0.818181818181818</v>
      </c>
      <c r="AO15" s="6" t="n">
        <f aca="false">VLOOKUP($E15,Role!$A$2:$O$9,5,0)</f>
        <v>0.666</v>
      </c>
      <c r="AP15" s="6" t="n">
        <f aca="false">VLOOKUP($F15,Category!$A$2:$AZ$20,9,0)</f>
        <v>0.111111111111111</v>
      </c>
      <c r="AQ15" s="6" t="n">
        <f aca="false">VLOOKUP($F15,Category!$A$2:$AZ$20,11,0)</f>
        <v>0.888888888888889</v>
      </c>
      <c r="AR15" s="6" t="n">
        <f aca="false">VLOOKUP($F15,Category!$A$2:$AZ$20,10,0)</f>
        <v>1</v>
      </c>
      <c r="AS15" s="6" t="n">
        <f aca="false">VLOOKUP($E15,Role!$A$2:$O$9,4,0)</f>
        <v>0.666</v>
      </c>
      <c r="AT15" s="7" t="n">
        <f aca="false">VLOOKUP($F15,Category!$A$2:$AZ$20,14,0)</f>
        <v>0.333333333333333</v>
      </c>
      <c r="AU15" s="7" t="n">
        <f aca="false">VLOOKUP($F15,Category!$A$2:$AZ$20,16,0)</f>
        <v>0.5</v>
      </c>
      <c r="AV15" s="7" t="n">
        <f aca="false">VLOOKUP($D15,Size!$A$2:$Z$14,17,0)</f>
        <v>3</v>
      </c>
      <c r="AW15" s="7" t="n">
        <f aca="false">VLOOKUP($E15,Role!$A$2:$O$9,3,0)</f>
        <v>0.666</v>
      </c>
      <c r="AX15" s="7" t="n">
        <f aca="false">VLOOKUP($F15,Category!$A$2:$AZ$20,29,0)</f>
        <v>0.333333333333333</v>
      </c>
      <c r="AY15" s="7" t="n">
        <f aca="false">VLOOKUP($F15,Category!$A$2:$AZ$20,31,0)</f>
        <v>0.555555555555556</v>
      </c>
      <c r="AZ15" s="7" t="n">
        <f aca="false">VLOOKUP($D15,Size!$A$2:$Z$14,16,0)</f>
        <v>3</v>
      </c>
      <c r="BA15" s="7" t="n">
        <f aca="false">VLOOKUP($E15,Role!$A$2:$O$9,2,0)</f>
        <v>0.666</v>
      </c>
      <c r="BC15" s="7" t="n">
        <f aca="false">VLOOKUP($D15,Size!$A$2:$Z$14,19,0)</f>
        <v>10</v>
      </c>
      <c r="BD15" s="7" t="n">
        <f aca="false">VLOOKUP($D15,Size!$A$2:$Z$14,20,0)</f>
        <v>1</v>
      </c>
      <c r="BE15" s="7" t="n">
        <f aca="false">VLOOKUP($E15,Role!$A$2:$O$9,12,0)</f>
        <v>1.25</v>
      </c>
      <c r="BF15" s="7" t="n">
        <f aca="false">VLOOKUP($C15,Type!$A$2:$B$4,2,0)</f>
        <v>1</v>
      </c>
      <c r="BG15" s="7" t="n">
        <f aca="false">VLOOKUP($D15,Size!$A$2:$Z$14,18,0)</f>
        <v>13</v>
      </c>
      <c r="BH15" s="7" t="n">
        <f aca="false">INT($BF15*$BG15*$BE15*$B15/2)</f>
        <v>16</v>
      </c>
      <c r="BI15" s="7" t="n">
        <f aca="false">INT(($BC15*$BF15)+($I15*$BD15))</f>
        <v>12</v>
      </c>
      <c r="BJ15" s="7" t="n">
        <f aca="false">INT((($I15*$BE15)+$BC15)*$BF15)</f>
        <v>12</v>
      </c>
      <c r="BK15" s="14"/>
      <c r="BL15" s="7" t="n">
        <f aca="false">VLOOKUP($E15,Role!$A$2:$O$9,13,0)</f>
        <v>1.25</v>
      </c>
      <c r="BM15" s="7" t="n">
        <f aca="false">VLOOKUP($E15,Role!$A$2:$O$9,11,0)</f>
        <v>0.666</v>
      </c>
      <c r="BO15" s="7" t="n">
        <f aca="false">VLOOKUP($E15,Role!$A$2:$O$9,8,0)</f>
        <v>0.75</v>
      </c>
      <c r="BP15" s="7" t="n">
        <f aca="false">VLOOKUP($E15,Role!$A$2:$O$9,9,0)</f>
        <v>0.75</v>
      </c>
      <c r="BQ15" s="7" t="n">
        <f aca="false">VLOOKUP($E15,Role!$A$2:$O$9,10,0)</f>
        <v>0.5</v>
      </c>
    </row>
    <row r="16" customFormat="false" ht="12.8" hidden="false" customHeight="false" outlineLevel="0" collapsed="false">
      <c r="B16" s="2" t="n">
        <v>2</v>
      </c>
      <c r="C16" s="3" t="s">
        <v>63</v>
      </c>
      <c r="D16" s="1" t="s">
        <v>64</v>
      </c>
      <c r="E16" s="1" t="s">
        <v>70</v>
      </c>
      <c r="F16" s="1" t="s">
        <v>75</v>
      </c>
      <c r="G16" s="1" t="s">
        <v>67</v>
      </c>
      <c r="H16" s="4" t="n">
        <f aca="false">VLOOKUP($D16,Size!$A$2:$Z$14,6,0)</f>
        <v>1</v>
      </c>
      <c r="I16" s="13" t="n">
        <f aca="false">INT(($B16*$AZ16*$AX16*$BA16)+($B16*$AY16))</f>
        <v>2</v>
      </c>
      <c r="J16" s="4" t="n">
        <f aca="false">ROUND((($B16*$AT16)+($AV16*$AU16))*$AW16,0)</f>
        <v>1</v>
      </c>
      <c r="K16" s="4" t="n">
        <f aca="false">ROUND((($B16*$AP16)+($B16*$AQ16))*$AS16,0)</f>
        <v>1</v>
      </c>
      <c r="L16" s="4" t="n">
        <f aca="false">ROUND((($B16*$AM16)+($B16*$AN16))*$AO16,0)</f>
        <v>1</v>
      </c>
      <c r="M16" s="4" t="n">
        <f aca="false">ROUND((($B16*$AG16)+($B16*$AH16))*$AI16,0)</f>
        <v>1</v>
      </c>
      <c r="N16" s="4" t="n">
        <f aca="false">ROUND((($B16*$AJ16)+($B16*$AK16))*$AL16,0)</f>
        <v>1</v>
      </c>
      <c r="O16" s="4" t="n">
        <f aca="false">INT($BO16*$B16)</f>
        <v>1</v>
      </c>
      <c r="P16" s="4" t="n">
        <f aca="false">INT($BP16*$B16)</f>
        <v>1</v>
      </c>
      <c r="Q16" s="4" t="n">
        <f aca="false">INT($BQ16*$B16*$AR16)</f>
        <v>1</v>
      </c>
      <c r="R16" s="4" t="n">
        <f aca="false">IF($R$1="WT/G",INT(POWER($BH16*$BJ16*$BI16,0.333333)),0)+IF($R$1="WT/A",INT(($BH16+$BJ16+$BI16)/3),0)+IF($R$1="WT/A2",INT(($BJ16+$BI16)/2),0)+IF($R$1="WT/W",INT(($BH16+$BJ16+$BJ16+$BI16)/4),0)+IF($R$1="WT/W2",INT(($BH16+$BJ16+$BI16+$BI16)/4),0)+IF($R$1="WT/N",INT(MIN($BH16,$BJ16,$BI16)),0)+IF($R$1="WT/M",INT(MAX($BH16,$BJ16,$BI16)),0)+IF($R$1="WT/1",INT($BH16),0)+IF($R$1="WT/2",INT($BI16),0)+IF($R$1="WT/3",INT($BJ16),0)</f>
        <v>13</v>
      </c>
      <c r="S16" s="4" t="n">
        <f aca="false">INT((10+$M16)*$BL16)</f>
        <v>13</v>
      </c>
      <c r="T16" s="4" t="n">
        <f aca="false">INT($I16*$BM16*$BF16)</f>
        <v>1</v>
      </c>
      <c r="U16" s="2" t="n">
        <f aca="false">ROUND(MAX($J16,$L16)+(MIN($J16,$L16)*$X16),0)</f>
        <v>2</v>
      </c>
      <c r="V16" s="2" t="n">
        <f aca="false">MAX(1,INT(((MIN($I16:$J16)+(MAX($I16:$J16)*$H16*$Y16)))*$Z16))</f>
        <v>3</v>
      </c>
      <c r="X16" s="5" t="n">
        <f aca="false">VLOOKUP($E16,Role!$A$2:$O$9,14,0)</f>
        <v>1</v>
      </c>
      <c r="Y16" s="5" t="n">
        <f aca="false">VLOOKUP($E16,Role!$A$2:$O$9,15,0)</f>
        <v>1</v>
      </c>
      <c r="Z16" s="5" t="n">
        <f aca="false">VLOOKUP($G16,Movement!$A$2:$C$7,3,0)</f>
        <v>1</v>
      </c>
      <c r="AB16" s="5" t="n">
        <f aca="false">INT(5+(($H16-1)/3))</f>
        <v>5</v>
      </c>
      <c r="AC16" s="5" t="n">
        <f aca="false">IF($AB16&lt;$I16,$I16-MAX($AB16,$B16),0)</f>
        <v>0</v>
      </c>
      <c r="AD16" s="5" t="n">
        <f aca="false">(5-ROUND(($H16-1)/3,0))</f>
        <v>5</v>
      </c>
      <c r="AE16" s="5" t="n">
        <f aca="false">IF($AD16&lt;$J16,$J16-MAX($AD16,$B16),0)</f>
        <v>0</v>
      </c>
      <c r="AG16" s="6" t="n">
        <f aca="false">VLOOKUP($F16,Category!$A$2:$AZ$20,24,0)</f>
        <v>0.111111111111111</v>
      </c>
      <c r="AH16" s="6" t="n">
        <f aca="false">VLOOKUP($F16,Category!$A$2:$AZ$20,26,0)</f>
        <v>1</v>
      </c>
      <c r="AI16" s="6" t="n">
        <f aca="false">VLOOKUP($E16,Role!$A$2:$O$9,6,0)</f>
        <v>0.666</v>
      </c>
      <c r="AJ16" s="6" t="n">
        <f aca="false">VLOOKUP($F16,Category!$A$2:$AZ$20,19,0)</f>
        <v>0.0909090909090909</v>
      </c>
      <c r="AK16" s="6" t="n">
        <f aca="false">VLOOKUP($F16,Category!$A$2:$AZ$20,21,0)</f>
        <v>0.818181818181818</v>
      </c>
      <c r="AL16" s="6" t="n">
        <f aca="false">VLOOKUP($E16,Role!$A$2:$O$9,7,0)</f>
        <v>0.666</v>
      </c>
      <c r="AM16" s="6" t="n">
        <f aca="false">VLOOKUP($F16,Category!$A$2:$AZ$20,19,0)</f>
        <v>0.0909090909090909</v>
      </c>
      <c r="AN16" s="6" t="n">
        <f aca="false">VLOOKUP($F16,Category!$A$2:$AZ$20,21,0)</f>
        <v>0.818181818181818</v>
      </c>
      <c r="AO16" s="6" t="n">
        <f aca="false">VLOOKUP($E16,Role!$A$2:$O$9,5,0)</f>
        <v>0.666</v>
      </c>
      <c r="AP16" s="6" t="n">
        <f aca="false">VLOOKUP($F16,Category!$A$2:$AZ$20,9,0)</f>
        <v>0.111111111111111</v>
      </c>
      <c r="AQ16" s="6" t="n">
        <f aca="false">VLOOKUP($F16,Category!$A$2:$AZ$20,11,0)</f>
        <v>0.888888888888889</v>
      </c>
      <c r="AR16" s="6" t="n">
        <f aca="false">VLOOKUP($F16,Category!$A$2:$AZ$20,10,0)</f>
        <v>1</v>
      </c>
      <c r="AS16" s="6" t="n">
        <f aca="false">VLOOKUP($E16,Role!$A$2:$O$9,4,0)</f>
        <v>0.666</v>
      </c>
      <c r="AT16" s="7" t="n">
        <f aca="false">VLOOKUP($F16,Category!$A$2:$AZ$20,14,0)</f>
        <v>0.333333333333333</v>
      </c>
      <c r="AU16" s="7" t="n">
        <f aca="false">VLOOKUP($F16,Category!$A$2:$AZ$20,16,0)</f>
        <v>0.5</v>
      </c>
      <c r="AV16" s="7" t="n">
        <f aca="false">VLOOKUP($D16,Size!$A$2:$Z$14,17,0)</f>
        <v>3</v>
      </c>
      <c r="AW16" s="7" t="n">
        <f aca="false">VLOOKUP($E16,Role!$A$2:$O$9,3,0)</f>
        <v>0.666</v>
      </c>
      <c r="AX16" s="7" t="n">
        <f aca="false">VLOOKUP($F16,Category!$A$2:$AZ$20,29,0)</f>
        <v>0.333333333333333</v>
      </c>
      <c r="AY16" s="7" t="n">
        <f aca="false">VLOOKUP($F16,Category!$A$2:$AZ$20,31,0)</f>
        <v>0.555555555555556</v>
      </c>
      <c r="AZ16" s="7" t="n">
        <f aca="false">VLOOKUP($D16,Size!$A$2:$Z$14,16,0)</f>
        <v>3</v>
      </c>
      <c r="BA16" s="7" t="n">
        <f aca="false">VLOOKUP($E16,Role!$A$2:$O$9,2,0)</f>
        <v>0.666</v>
      </c>
      <c r="BC16" s="7" t="n">
        <f aca="false">VLOOKUP($D16,Size!$A$2:$Z$14,19,0)</f>
        <v>10</v>
      </c>
      <c r="BD16" s="7" t="n">
        <f aca="false">VLOOKUP($D16,Size!$A$2:$Z$14,20,0)</f>
        <v>1</v>
      </c>
      <c r="BE16" s="7" t="n">
        <f aca="false">VLOOKUP($E16,Role!$A$2:$O$9,12,0)</f>
        <v>1.25</v>
      </c>
      <c r="BF16" s="7" t="n">
        <f aca="false">VLOOKUP($C16,Type!$A$2:$B$4,2,0)</f>
        <v>1</v>
      </c>
      <c r="BG16" s="7" t="n">
        <f aca="false">VLOOKUP($D16,Size!$A$2:$Z$14,18,0)</f>
        <v>13</v>
      </c>
      <c r="BH16" s="7" t="n">
        <f aca="false">INT($BF16*$BG16*$BE16*$B16/2)</f>
        <v>16</v>
      </c>
      <c r="BI16" s="7" t="n">
        <f aca="false">INT(($BC16*$BF16)+($I16*$BD16))</f>
        <v>12</v>
      </c>
      <c r="BJ16" s="7" t="n">
        <f aca="false">INT((($I16*$BE16)+$BC16)*$BF16)</f>
        <v>12</v>
      </c>
      <c r="BK16" s="14"/>
      <c r="BL16" s="7" t="n">
        <f aca="false">VLOOKUP($E16,Role!$A$2:$O$9,13,0)</f>
        <v>1.25</v>
      </c>
      <c r="BM16" s="7" t="n">
        <f aca="false">VLOOKUP($E16,Role!$A$2:$O$9,11,0)</f>
        <v>0.666</v>
      </c>
      <c r="BO16" s="7" t="n">
        <f aca="false">VLOOKUP($E16,Role!$A$2:$O$9,8,0)</f>
        <v>0.75</v>
      </c>
      <c r="BP16" s="7" t="n">
        <f aca="false">VLOOKUP($E16,Role!$A$2:$O$9,9,0)</f>
        <v>0.75</v>
      </c>
      <c r="BQ16" s="7" t="n">
        <f aca="false">VLOOKUP($E16,Role!$A$2:$O$9,10,0)</f>
        <v>0.5</v>
      </c>
    </row>
    <row r="17" customFormat="false" ht="12.8" hidden="false" customHeight="false" outlineLevel="0" collapsed="false">
      <c r="B17" s="2" t="n">
        <v>2</v>
      </c>
      <c r="C17" s="3" t="s">
        <v>77</v>
      </c>
      <c r="D17" s="15" t="s">
        <v>78</v>
      </c>
      <c r="E17" s="1" t="s">
        <v>73</v>
      </c>
      <c r="F17" s="1" t="s">
        <v>79</v>
      </c>
      <c r="G17" s="1" t="s">
        <v>80</v>
      </c>
      <c r="H17" s="4" t="n">
        <f aca="false">VLOOKUP($D17,Size!$A$2:$Z$14,6,0)</f>
        <v>-3</v>
      </c>
      <c r="I17" s="13" t="n">
        <f aca="false">INT(($B17*$AZ17*$AX17*$BA17)+($B17*$AY17))</f>
        <v>1</v>
      </c>
      <c r="J17" s="4" t="n">
        <f aca="false">ROUND((($B17*$AT17)+($AV17*$AU17))*$AW17,0)</f>
        <v>2</v>
      </c>
      <c r="K17" s="4" t="n">
        <f aca="false">ROUND((($B17*$AP17)+($B17*$AQ17))*$AS17,0)</f>
        <v>1</v>
      </c>
      <c r="L17" s="4" t="n">
        <f aca="false">ROUND((($B17*$AM17)+($B17*$AN17))*$AO17,0)</f>
        <v>1</v>
      </c>
      <c r="M17" s="4" t="n">
        <f aca="false">ROUND((($B17*$AG17)+($B17*$AH17))*$AI17,0)</f>
        <v>1</v>
      </c>
      <c r="N17" s="4" t="n">
        <f aca="false">ROUND((($B17*$AJ17)+($B17*$AK17))*$AL17,0)</f>
        <v>1</v>
      </c>
      <c r="O17" s="4" t="n">
        <f aca="false">INT($BO17*$B17)</f>
        <v>1</v>
      </c>
      <c r="P17" s="4" t="n">
        <f aca="false">INT($BP17*$B17)</f>
        <v>1</v>
      </c>
      <c r="Q17" s="4" t="n">
        <f aca="false">INT($BQ17*$B17*$AR17)</f>
        <v>0</v>
      </c>
      <c r="R17" s="4" t="n">
        <f aca="false">IF($R$1="WT/G",INT(POWER($BH17*$BJ17*$BI17,0.333333)),0)+IF($R$1="WT/A",INT(($BH17+$BJ17+$BI17)/3),0)+IF($R$1="WT/A2",INT(($BJ17+$BI17)/2),0)+IF($R$1="WT/W",INT(($BH17+$BJ17+$BJ17+$BI17)/4),0)+IF($R$1="WT/W2",INT(($BH17+$BJ17+$BI17+$BI17)/4),0)+IF($R$1="WT/N",INT(MIN($BH17,$BJ17,$BI17)),0)+IF($R$1="WT/M",INT(MAX($BH17,$BJ17,$BI17)),0)+IF($R$1="WT/1",INT($BH17),0)+IF($R$1="WT/2",INT($BI17),0)+IF($R$1="WT/3",INT($BJ17),0)</f>
        <v>2</v>
      </c>
      <c r="S17" s="4" t="n">
        <f aca="false">INT((10+$M17)*$BL17)</f>
        <v>13</v>
      </c>
      <c r="T17" s="4" t="n">
        <f aca="false">INT($I17*$BM17*$BF17)</f>
        <v>0</v>
      </c>
      <c r="U17" s="2" t="n">
        <f aca="false">ROUND(MAX($J17,$L17)+(MIN($J17,$L17)*$X17),0)</f>
        <v>3</v>
      </c>
      <c r="V17" s="2" t="n">
        <f aca="false">MAX(1,INT(((MIN($I17:$J17)+(MAX($I17:$J17)*$H17*$Y17)))*$Z17))</f>
        <v>1</v>
      </c>
      <c r="X17" s="5" t="n">
        <f aca="false">VLOOKUP($E17,Role!$A$2:$O$9,14,0)</f>
        <v>0.75</v>
      </c>
      <c r="Y17" s="5" t="n">
        <f aca="false">VLOOKUP($E17,Role!$A$2:$O$9,15,0)</f>
        <v>1</v>
      </c>
      <c r="Z17" s="5" t="n">
        <f aca="false">VLOOKUP($G17,Movement!$A$2:$C$7,3,0)</f>
        <v>1.5</v>
      </c>
      <c r="AB17" s="5" t="n">
        <f aca="false">INT(5+(($H17-1)/3))</f>
        <v>3</v>
      </c>
      <c r="AC17" s="5" t="n">
        <f aca="false">IF($AB17&lt;$I17,$I17-MAX($AB17,$B17),0)</f>
        <v>0</v>
      </c>
      <c r="AD17" s="5" t="n">
        <f aca="false">(5-ROUND(($H17-1)/3,0))</f>
        <v>6</v>
      </c>
      <c r="AE17" s="5" t="n">
        <f aca="false">IF($AD17&lt;$J17,$J17-MAX($AD17,$B17),0)</f>
        <v>0</v>
      </c>
      <c r="AG17" s="6" t="n">
        <f aca="false">VLOOKUP($F17,Category!$A$2:$AZ$20,24,0)</f>
        <v>0</v>
      </c>
      <c r="AH17" s="6" t="n">
        <f aca="false">VLOOKUP($F17,Category!$A$2:$AZ$20,26,0)</f>
        <v>0.333333333333333</v>
      </c>
      <c r="AI17" s="6" t="n">
        <f aca="false">VLOOKUP($E17,Role!$A$2:$O$9,6,0)</f>
        <v>1</v>
      </c>
      <c r="AJ17" s="6" t="n">
        <f aca="false">VLOOKUP($F17,Category!$A$2:$AZ$20,19,0)</f>
        <v>0.0909090909090909</v>
      </c>
      <c r="AK17" s="6" t="n">
        <f aca="false">VLOOKUP($F17,Category!$A$2:$AZ$20,21,0)</f>
        <v>0.545454545454545</v>
      </c>
      <c r="AL17" s="6" t="n">
        <f aca="false">VLOOKUP($E17,Role!$A$2:$O$9,7,0)</f>
        <v>1</v>
      </c>
      <c r="AM17" s="6" t="n">
        <f aca="false">VLOOKUP($F17,Category!$A$2:$AZ$20,19,0)</f>
        <v>0.0909090909090909</v>
      </c>
      <c r="AN17" s="6" t="n">
        <f aca="false">VLOOKUP($F17,Category!$A$2:$AZ$20,21,0)</f>
        <v>0.545454545454545</v>
      </c>
      <c r="AO17" s="6" t="n">
        <f aca="false">VLOOKUP($E17,Role!$A$2:$O$9,5,0)</f>
        <v>1</v>
      </c>
      <c r="AP17" s="6" t="n">
        <f aca="false">VLOOKUP($F17,Category!$A$2:$AZ$20,9,0)</f>
        <v>0</v>
      </c>
      <c r="AQ17" s="6" t="n">
        <f aca="false">VLOOKUP($F17,Category!$A$2:$AZ$20,11,0)</f>
        <v>0.555555555555556</v>
      </c>
      <c r="AR17" s="6" t="n">
        <f aca="false">VLOOKUP($F17,Category!$A$2:$AZ$20,10,0)</f>
        <v>0.555555555555556</v>
      </c>
      <c r="AS17" s="6" t="n">
        <f aca="false">VLOOKUP($E17,Role!$A$2:$O$9,4,0)</f>
        <v>1</v>
      </c>
      <c r="AT17" s="7" t="n">
        <f aca="false">VLOOKUP($F17,Category!$A$2:$AZ$20,14,0)</f>
        <v>0.416666666666667</v>
      </c>
      <c r="AU17" s="7" t="n">
        <f aca="false">VLOOKUP($F17,Category!$A$2:$AZ$20,16,0)</f>
        <v>0.25</v>
      </c>
      <c r="AV17" s="7" t="n">
        <f aca="false">VLOOKUP($D17,Size!$A$2:$Z$14,17,0)</f>
        <v>4</v>
      </c>
      <c r="AW17" s="7" t="n">
        <f aca="false">VLOOKUP($E17,Role!$A$2:$O$9,3,0)</f>
        <v>1</v>
      </c>
      <c r="AX17" s="7" t="n">
        <f aca="false">VLOOKUP($F17,Category!$A$2:$AZ$20,29,0)</f>
        <v>0.333333333333333</v>
      </c>
      <c r="AY17" s="7" t="n">
        <f aca="false">VLOOKUP($F17,Category!$A$2:$AZ$20,31,0)</f>
        <v>0.333333333333333</v>
      </c>
      <c r="AZ17" s="7" t="n">
        <f aca="false">VLOOKUP($D17,Size!$A$2:$Z$14,16,0)</f>
        <v>1</v>
      </c>
      <c r="BA17" s="7" t="n">
        <f aca="false">VLOOKUP($E17,Role!$A$2:$O$9,2,0)</f>
        <v>1</v>
      </c>
      <c r="BC17" s="7" t="n">
        <f aca="false">VLOOKUP($D17,Size!$A$2:$Z$14,19,0)</f>
        <v>6</v>
      </c>
      <c r="BD17" s="7" t="n">
        <f aca="false">VLOOKUP($D17,Size!$A$2:$Z$14,20,0)</f>
        <v>0.33</v>
      </c>
      <c r="BE17" s="7" t="n">
        <f aca="false">VLOOKUP($E17,Role!$A$2:$O$9,12,0)</f>
        <v>1.5</v>
      </c>
      <c r="BF17" s="7" t="n">
        <f aca="false">VLOOKUP($C17,Type!$A$2:$B$4,2,0)</f>
        <v>0.5</v>
      </c>
      <c r="BG17" s="7" t="n">
        <f aca="false">VLOOKUP($D17,Size!$A$2:$Z$14,18,0)</f>
        <v>2.71683715631514</v>
      </c>
      <c r="BH17" s="7" t="n">
        <f aca="false">INT($BF17*$BG17*$BE17*$B17/2)</f>
        <v>2</v>
      </c>
      <c r="BI17" s="7" t="n">
        <f aca="false">INT(($BC17*$BF17)+($I17*$BD17))</f>
        <v>3</v>
      </c>
      <c r="BJ17" s="7" t="n">
        <f aca="false">INT((($I17*$BE17)+$BC17)*$BF17)</f>
        <v>3</v>
      </c>
      <c r="BK17" s="14"/>
      <c r="BL17" s="7" t="n">
        <f aca="false">VLOOKUP($E17,Role!$A$2:$O$9,13,0)</f>
        <v>1.25</v>
      </c>
      <c r="BM17" s="7" t="n">
        <f aca="false">VLOOKUP($E17,Role!$A$2:$O$9,11,0)</f>
        <v>0.666</v>
      </c>
      <c r="BO17" s="7" t="n">
        <f aca="false">VLOOKUP($E17,Role!$A$2:$O$9,8,0)</f>
        <v>0.75</v>
      </c>
      <c r="BP17" s="7" t="n">
        <f aca="false">VLOOKUP($E17,Role!$A$2:$O$9,9,0)</f>
        <v>0.75</v>
      </c>
      <c r="BQ17" s="7" t="n">
        <f aca="false">VLOOKUP($E17,Role!$A$2:$O$9,10,0)</f>
        <v>0.6</v>
      </c>
    </row>
    <row r="18" customFormat="false" ht="12.8" hidden="false" customHeight="false" outlineLevel="0" collapsed="false">
      <c r="B18" s="2" t="n">
        <v>2</v>
      </c>
      <c r="C18" s="3" t="s">
        <v>77</v>
      </c>
      <c r="D18" s="1" t="s">
        <v>81</v>
      </c>
      <c r="E18" s="1" t="s">
        <v>73</v>
      </c>
      <c r="F18" s="1" t="s">
        <v>79</v>
      </c>
      <c r="G18" s="1" t="s">
        <v>80</v>
      </c>
      <c r="H18" s="4" t="n">
        <f aca="false">VLOOKUP($D18,Size!$A$2:$Z$14,6,0)</f>
        <v>-2</v>
      </c>
      <c r="I18" s="13" t="n">
        <f aca="false">INT(($B18*$AZ18*$AX18*$BA18)+($B18*$AY18))</f>
        <v>2</v>
      </c>
      <c r="J18" s="4" t="n">
        <f aca="false">ROUND((($B18*$AT18)+($AV18*$AU18))*$AW18,0)</f>
        <v>2</v>
      </c>
      <c r="K18" s="4" t="n">
        <f aca="false">ROUND((($B18*$AP18)+($B18*$AQ18))*$AS18,0)</f>
        <v>1</v>
      </c>
      <c r="L18" s="4" t="n">
        <f aca="false">ROUND((($B18*$AM18)+($B18*$AN18))*$AO18,0)</f>
        <v>1</v>
      </c>
      <c r="M18" s="4" t="n">
        <f aca="false">ROUND((($B18*$AG18)+($B18*$AH18))*$AI18,0)</f>
        <v>1</v>
      </c>
      <c r="N18" s="4" t="n">
        <f aca="false">ROUND((($B18*$AJ18)+($B18*$AK18))*$AL18,0)</f>
        <v>1</v>
      </c>
      <c r="O18" s="4" t="n">
        <f aca="false">INT($BO18*$B18)</f>
        <v>1</v>
      </c>
      <c r="P18" s="4" t="n">
        <f aca="false">INT($BP18*$B18)</f>
        <v>1</v>
      </c>
      <c r="Q18" s="4" t="n">
        <f aca="false">INT($BQ18*$B18*$AR18)</f>
        <v>0</v>
      </c>
      <c r="R18" s="4" t="n">
        <f aca="false">IF($R$1="WT/G",INT(POWER($BH18*$BJ18*$BI18,0.333333)),0)+IF($R$1="WT/A",INT(($BH18+$BJ18+$BI18)/3),0)+IF($R$1="WT/A2",INT(($BJ18+$BI18)/2),0)+IF($R$1="WT/W",INT(($BH18+$BJ18+$BJ18+$BI18)/4),0)+IF($R$1="WT/W2",INT(($BH18+$BJ18+$BI18+$BI18)/4),0)+IF($R$1="WT/N",INT(MIN($BH18,$BJ18,$BI18)),0)+IF($R$1="WT/M",INT(MAX($BH18,$BJ18,$BI18)),0)+IF($R$1="WT/1",INT($BH18),0)+IF($R$1="WT/2",INT($BI18),0)+IF($R$1="WT/3",INT($BJ18),0)</f>
        <v>4</v>
      </c>
      <c r="S18" s="4" t="n">
        <f aca="false">INT((10+$M18)*$BL18)</f>
        <v>13</v>
      </c>
      <c r="T18" s="4" t="n">
        <f aca="false">INT($I18*$BM18*$BF18)</f>
        <v>0</v>
      </c>
      <c r="U18" s="2" t="n">
        <f aca="false">ROUND(MAX($J18,$L18)+(MIN($J18,$L18)*$X18),0)</f>
        <v>3</v>
      </c>
      <c r="V18" s="2" t="n">
        <f aca="false">MAX(1,INT(((MIN($I18:$J18)+(MAX($I18:$J18)*$H18*$Y18)))*$Z18))</f>
        <v>1</v>
      </c>
      <c r="X18" s="5" t="n">
        <f aca="false">VLOOKUP($E18,Role!$A$2:$O$9,14,0)</f>
        <v>0.75</v>
      </c>
      <c r="Y18" s="5" t="n">
        <f aca="false">VLOOKUP($E18,Role!$A$2:$O$9,15,0)</f>
        <v>1</v>
      </c>
      <c r="Z18" s="5" t="n">
        <f aca="false">VLOOKUP($G18,Movement!$A$2:$C$7,3,0)</f>
        <v>1.5</v>
      </c>
      <c r="AB18" s="5" t="n">
        <f aca="false">INT(5+(($H18-1)/3))</f>
        <v>4</v>
      </c>
      <c r="AC18" s="5" t="n">
        <f aca="false">IF($AB18&lt;$I18,$I18-MAX($AB18,$B18),0)</f>
        <v>0</v>
      </c>
      <c r="AD18" s="5" t="n">
        <f aca="false">(5-ROUND(($H18-1)/3,0))</f>
        <v>6</v>
      </c>
      <c r="AE18" s="5" t="n">
        <f aca="false">IF($AD18&lt;$J18,$J18-MAX($AD18,$B18),0)</f>
        <v>0</v>
      </c>
      <c r="AG18" s="6" t="n">
        <f aca="false">VLOOKUP($F18,Category!$A$2:$AZ$20,24,0)</f>
        <v>0</v>
      </c>
      <c r="AH18" s="6" t="n">
        <f aca="false">VLOOKUP($F18,Category!$A$2:$AZ$20,26,0)</f>
        <v>0.333333333333333</v>
      </c>
      <c r="AI18" s="6" t="n">
        <f aca="false">VLOOKUP($E18,Role!$A$2:$O$9,6,0)</f>
        <v>1</v>
      </c>
      <c r="AJ18" s="6" t="n">
        <f aca="false">VLOOKUP($F18,Category!$A$2:$AZ$20,19,0)</f>
        <v>0.0909090909090909</v>
      </c>
      <c r="AK18" s="6" t="n">
        <f aca="false">VLOOKUP($F18,Category!$A$2:$AZ$20,21,0)</f>
        <v>0.545454545454545</v>
      </c>
      <c r="AL18" s="6" t="n">
        <f aca="false">VLOOKUP($E18,Role!$A$2:$O$9,7,0)</f>
        <v>1</v>
      </c>
      <c r="AM18" s="6" t="n">
        <f aca="false">VLOOKUP($F18,Category!$A$2:$AZ$20,19,0)</f>
        <v>0.0909090909090909</v>
      </c>
      <c r="AN18" s="6" t="n">
        <f aca="false">VLOOKUP($F18,Category!$A$2:$AZ$20,21,0)</f>
        <v>0.545454545454545</v>
      </c>
      <c r="AO18" s="6" t="n">
        <f aca="false">VLOOKUP($E18,Role!$A$2:$O$9,5,0)</f>
        <v>1</v>
      </c>
      <c r="AP18" s="6" t="n">
        <f aca="false">VLOOKUP($F18,Category!$A$2:$AZ$20,9,0)</f>
        <v>0</v>
      </c>
      <c r="AQ18" s="6" t="n">
        <f aca="false">VLOOKUP($F18,Category!$A$2:$AZ$20,11,0)</f>
        <v>0.555555555555556</v>
      </c>
      <c r="AR18" s="6" t="n">
        <f aca="false">VLOOKUP($F18,Category!$A$2:$AZ$20,10,0)</f>
        <v>0.555555555555556</v>
      </c>
      <c r="AS18" s="6" t="n">
        <f aca="false">VLOOKUP($E18,Role!$A$2:$O$9,4,0)</f>
        <v>1</v>
      </c>
      <c r="AT18" s="7" t="n">
        <f aca="false">VLOOKUP($F18,Category!$A$2:$AZ$20,14,0)</f>
        <v>0.416666666666667</v>
      </c>
      <c r="AU18" s="7" t="n">
        <f aca="false">VLOOKUP($F18,Category!$A$2:$AZ$20,16,0)</f>
        <v>0.25</v>
      </c>
      <c r="AV18" s="7" t="n">
        <f aca="false">VLOOKUP($D18,Size!$A$2:$Z$14,17,0)</f>
        <v>3</v>
      </c>
      <c r="AW18" s="7" t="n">
        <f aca="false">VLOOKUP($E18,Role!$A$2:$O$9,3,0)</f>
        <v>1</v>
      </c>
      <c r="AX18" s="7" t="n">
        <f aca="false">VLOOKUP($F18,Category!$A$2:$AZ$20,29,0)</f>
        <v>0.333333333333333</v>
      </c>
      <c r="AY18" s="7" t="n">
        <f aca="false">VLOOKUP($F18,Category!$A$2:$AZ$20,31,0)</f>
        <v>0.333333333333333</v>
      </c>
      <c r="AZ18" s="7" t="n">
        <f aca="false">VLOOKUP($D18,Size!$A$2:$Z$14,16,0)</f>
        <v>2</v>
      </c>
      <c r="BA18" s="7" t="n">
        <f aca="false">VLOOKUP($E18,Role!$A$2:$O$9,2,0)</f>
        <v>1</v>
      </c>
      <c r="BC18" s="7" t="n">
        <f aca="false">VLOOKUP($D18,Size!$A$2:$Z$14,19,0)</f>
        <v>7</v>
      </c>
      <c r="BD18" s="7" t="n">
        <f aca="false">VLOOKUP($D18,Size!$A$2:$Z$14,20,0)</f>
        <v>0.5</v>
      </c>
      <c r="BE18" s="7" t="n">
        <f aca="false">VLOOKUP($E18,Role!$A$2:$O$9,12,0)</f>
        <v>1.5</v>
      </c>
      <c r="BF18" s="7" t="n">
        <f aca="false">VLOOKUP($C18,Type!$A$2:$B$4,2,0)</f>
        <v>0.5</v>
      </c>
      <c r="BG18" s="7" t="n">
        <f aca="false">VLOOKUP($D18,Size!$A$2:$Z$14,18,0)</f>
        <v>6.5643914849257</v>
      </c>
      <c r="BH18" s="7" t="n">
        <f aca="false">INT($BF18*$BG18*$BE18*$B18/2)</f>
        <v>4</v>
      </c>
      <c r="BI18" s="7" t="n">
        <f aca="false">INT(($BC18*$BF18)+($I18*$BD18))</f>
        <v>4</v>
      </c>
      <c r="BJ18" s="7" t="n">
        <f aca="false">INT((($I18*$BE18)+$BC18)*$BF18)</f>
        <v>5</v>
      </c>
      <c r="BK18" s="14"/>
      <c r="BL18" s="7" t="n">
        <f aca="false">VLOOKUP($E18,Role!$A$2:$O$9,13,0)</f>
        <v>1.25</v>
      </c>
      <c r="BM18" s="7" t="n">
        <f aca="false">VLOOKUP($E18,Role!$A$2:$O$9,11,0)</f>
        <v>0.666</v>
      </c>
      <c r="BO18" s="7" t="n">
        <f aca="false">VLOOKUP($E18,Role!$A$2:$O$9,8,0)</f>
        <v>0.75</v>
      </c>
      <c r="BP18" s="7" t="n">
        <f aca="false">VLOOKUP($E18,Role!$A$2:$O$9,9,0)</f>
        <v>0.75</v>
      </c>
      <c r="BQ18" s="7" t="n">
        <f aca="false">VLOOKUP($E18,Role!$A$2:$O$9,10,0)</f>
        <v>0.6</v>
      </c>
    </row>
    <row r="19" customFormat="false" ht="12.8" hidden="false" customHeight="false" outlineLevel="0" collapsed="false">
      <c r="B19" s="2" t="n">
        <v>2</v>
      </c>
      <c r="C19" s="3" t="s">
        <v>77</v>
      </c>
      <c r="D19" s="1" t="s">
        <v>82</v>
      </c>
      <c r="E19" s="1" t="s">
        <v>73</v>
      </c>
      <c r="F19" s="1" t="s">
        <v>79</v>
      </c>
      <c r="G19" s="1" t="s">
        <v>80</v>
      </c>
      <c r="H19" s="4" t="n">
        <f aca="false">VLOOKUP($D19,Size!$A$2:$Z$14,6,0)</f>
        <v>-1</v>
      </c>
      <c r="I19" s="13" t="n">
        <f aca="false">INT(($B19*$AZ19*$AX19*$BA19)+($B19*$AY19))</f>
        <v>2</v>
      </c>
      <c r="J19" s="4" t="n">
        <f aca="false">ROUND((($B19*$AT19)+($AV19*$AU19))*$AW19,0)</f>
        <v>2</v>
      </c>
      <c r="K19" s="4" t="n">
        <f aca="false">ROUND((($B19*$AP19)+($B19*$AQ19))*$AS19,0)</f>
        <v>1</v>
      </c>
      <c r="L19" s="4" t="n">
        <f aca="false">ROUND((($B19*$AM19)+($B19*$AN19))*$AO19,0)</f>
        <v>1</v>
      </c>
      <c r="M19" s="4" t="n">
        <f aca="false">ROUND((($B19*$AG19)+($B19*$AH19))*$AI19,0)</f>
        <v>1</v>
      </c>
      <c r="N19" s="4" t="n">
        <f aca="false">ROUND((($B19*$AJ19)+($B19*$AK19))*$AL19,0)</f>
        <v>1</v>
      </c>
      <c r="O19" s="4" t="n">
        <f aca="false">INT($BO19*$B19)</f>
        <v>1</v>
      </c>
      <c r="P19" s="4" t="n">
        <f aca="false">INT($BP19*$B19)</f>
        <v>1</v>
      </c>
      <c r="Q19" s="4" t="n">
        <f aca="false">INT($BQ19*$B19*$AR19)</f>
        <v>0</v>
      </c>
      <c r="R19" s="4" t="n">
        <f aca="false">IF($R$1="WT/G",INT(POWER($BH19*$BJ19*$BI19,0.333333)),0)+IF($R$1="WT/A",INT(($BH19+$BJ19+$BI19)/3),0)+IF($R$1="WT/A2",INT(($BJ19+$BI19)/2),0)+IF($R$1="WT/W",INT(($BH19+$BJ19+$BJ19+$BI19)/4),0)+IF($R$1="WT/W2",INT(($BH19+$BJ19+$BI19+$BI19)/4),0)+IF($R$1="WT/N",INT(MIN($BH19,$BJ19,$BI19)),0)+IF($R$1="WT/M",INT(MAX($BH19,$BJ19,$BI19)),0)+IF($R$1="WT/1",INT($BH19),0)+IF($R$1="WT/2",INT($BI19),0)+IF($R$1="WT/3",INT($BJ19),0)</f>
        <v>5</v>
      </c>
      <c r="S19" s="4" t="n">
        <f aca="false">INT((10+$M19)*$BL19)</f>
        <v>13</v>
      </c>
      <c r="T19" s="4" t="n">
        <f aca="false">INT($I19*$BM19*$BF19)</f>
        <v>0</v>
      </c>
      <c r="U19" s="2" t="n">
        <f aca="false">ROUND(MAX($J19,$L19)+(MIN($J19,$L19)*$X19),0)</f>
        <v>3</v>
      </c>
      <c r="V19" s="2" t="n">
        <f aca="false">MAX(1,INT(((MIN($I19:$J19)+(MAX($I19:$J19)*$H19*$Y19)))*$Z19))</f>
        <v>1</v>
      </c>
      <c r="X19" s="5" t="n">
        <f aca="false">VLOOKUP($E19,Role!$A$2:$O$9,14,0)</f>
        <v>0.75</v>
      </c>
      <c r="Y19" s="5" t="n">
        <f aca="false">VLOOKUP($E19,Role!$A$2:$O$9,15,0)</f>
        <v>1</v>
      </c>
      <c r="Z19" s="5" t="n">
        <f aca="false">VLOOKUP($G19,Movement!$A$2:$C$7,3,0)</f>
        <v>1.5</v>
      </c>
      <c r="AB19" s="5" t="n">
        <f aca="false">INT(5+(($H19-1)/3))</f>
        <v>4</v>
      </c>
      <c r="AC19" s="5" t="n">
        <f aca="false">IF($AB19&lt;$I19,$I19-MAX($AB19,$B19),0)</f>
        <v>0</v>
      </c>
      <c r="AD19" s="5" t="n">
        <f aca="false">(5-ROUND(($H19-1)/3,0))</f>
        <v>6</v>
      </c>
      <c r="AE19" s="5" t="n">
        <f aca="false">IF($AD19&lt;$J19,$J19-MAX($AD19,$B19),0)</f>
        <v>0</v>
      </c>
      <c r="AG19" s="6" t="n">
        <f aca="false">VLOOKUP($F19,Category!$A$2:$AZ$20,24,0)</f>
        <v>0</v>
      </c>
      <c r="AH19" s="6" t="n">
        <f aca="false">VLOOKUP($F19,Category!$A$2:$AZ$20,26,0)</f>
        <v>0.333333333333333</v>
      </c>
      <c r="AI19" s="6" t="n">
        <f aca="false">VLOOKUP($E19,Role!$A$2:$O$9,6,0)</f>
        <v>1</v>
      </c>
      <c r="AJ19" s="6" t="n">
        <f aca="false">VLOOKUP($F19,Category!$A$2:$AZ$20,19,0)</f>
        <v>0.0909090909090909</v>
      </c>
      <c r="AK19" s="6" t="n">
        <f aca="false">VLOOKUP($F19,Category!$A$2:$AZ$20,21,0)</f>
        <v>0.545454545454545</v>
      </c>
      <c r="AL19" s="6" t="n">
        <f aca="false">VLOOKUP($E19,Role!$A$2:$O$9,7,0)</f>
        <v>1</v>
      </c>
      <c r="AM19" s="6" t="n">
        <f aca="false">VLOOKUP($F19,Category!$A$2:$AZ$20,19,0)</f>
        <v>0.0909090909090909</v>
      </c>
      <c r="AN19" s="6" t="n">
        <f aca="false">VLOOKUP($F19,Category!$A$2:$AZ$20,21,0)</f>
        <v>0.545454545454545</v>
      </c>
      <c r="AO19" s="6" t="n">
        <f aca="false">VLOOKUP($E19,Role!$A$2:$O$9,5,0)</f>
        <v>1</v>
      </c>
      <c r="AP19" s="6" t="n">
        <f aca="false">VLOOKUP($F19,Category!$A$2:$AZ$20,9,0)</f>
        <v>0</v>
      </c>
      <c r="AQ19" s="6" t="n">
        <f aca="false">VLOOKUP($F19,Category!$A$2:$AZ$20,11,0)</f>
        <v>0.555555555555556</v>
      </c>
      <c r="AR19" s="6" t="n">
        <f aca="false">VLOOKUP($F19,Category!$A$2:$AZ$20,10,0)</f>
        <v>0.555555555555556</v>
      </c>
      <c r="AS19" s="6" t="n">
        <f aca="false">VLOOKUP($E19,Role!$A$2:$O$9,4,0)</f>
        <v>1</v>
      </c>
      <c r="AT19" s="7" t="n">
        <f aca="false">VLOOKUP($F19,Category!$A$2:$AZ$20,14,0)</f>
        <v>0.416666666666667</v>
      </c>
      <c r="AU19" s="7" t="n">
        <f aca="false">VLOOKUP($F19,Category!$A$2:$AZ$20,16,0)</f>
        <v>0.25</v>
      </c>
      <c r="AV19" s="7" t="n">
        <f aca="false">VLOOKUP($D19,Size!$A$2:$Z$14,17,0)</f>
        <v>3</v>
      </c>
      <c r="AW19" s="7" t="n">
        <f aca="false">VLOOKUP($E19,Role!$A$2:$O$9,3,0)</f>
        <v>1</v>
      </c>
      <c r="AX19" s="7" t="n">
        <f aca="false">VLOOKUP($F19,Category!$A$2:$AZ$20,29,0)</f>
        <v>0.333333333333333</v>
      </c>
      <c r="AY19" s="7" t="n">
        <f aca="false">VLOOKUP($F19,Category!$A$2:$AZ$20,31,0)</f>
        <v>0.333333333333333</v>
      </c>
      <c r="AZ19" s="7" t="n">
        <f aca="false">VLOOKUP($D19,Size!$A$2:$Z$14,16,0)</f>
        <v>2</v>
      </c>
      <c r="BA19" s="7" t="n">
        <f aca="false">VLOOKUP($E19,Role!$A$2:$O$9,2,0)</f>
        <v>1</v>
      </c>
      <c r="BC19" s="7" t="n">
        <f aca="false">VLOOKUP($D19,Size!$A$2:$Z$14,19,0)</f>
        <v>8</v>
      </c>
      <c r="BD19" s="7" t="n">
        <f aca="false">VLOOKUP($D19,Size!$A$2:$Z$14,20,0)</f>
        <v>0.66</v>
      </c>
      <c r="BE19" s="7" t="n">
        <f aca="false">VLOOKUP($E19,Role!$A$2:$O$9,12,0)</f>
        <v>1.5</v>
      </c>
      <c r="BF19" s="7" t="n">
        <f aca="false">VLOOKUP($C19,Type!$A$2:$B$4,2,0)</f>
        <v>0.5</v>
      </c>
      <c r="BG19" s="7" t="n">
        <f aca="false">VLOOKUP($D19,Size!$A$2:$Z$14,18,0)</f>
        <v>8.28567304322775</v>
      </c>
      <c r="BH19" s="7" t="n">
        <f aca="false">INT($BF19*$BG19*$BE19*$B19/2)</f>
        <v>6</v>
      </c>
      <c r="BI19" s="7" t="n">
        <f aca="false">INT(($BC19*$BF19)+($I19*$BD19))</f>
        <v>5</v>
      </c>
      <c r="BJ19" s="7" t="n">
        <f aca="false">INT((($I19*$BE19)+$BC19)*$BF19)</f>
        <v>5</v>
      </c>
      <c r="BK19" s="14"/>
      <c r="BL19" s="7" t="n">
        <f aca="false">VLOOKUP($E19,Role!$A$2:$O$9,13,0)</f>
        <v>1.25</v>
      </c>
      <c r="BM19" s="7" t="n">
        <f aca="false">VLOOKUP($E19,Role!$A$2:$O$9,11,0)</f>
        <v>0.666</v>
      </c>
      <c r="BO19" s="7" t="n">
        <f aca="false">VLOOKUP($E19,Role!$A$2:$O$9,8,0)</f>
        <v>0.75</v>
      </c>
      <c r="BP19" s="7" t="n">
        <f aca="false">VLOOKUP($E19,Role!$A$2:$O$9,9,0)</f>
        <v>0.75</v>
      </c>
      <c r="BQ19" s="7" t="n">
        <f aca="false">VLOOKUP($E19,Role!$A$2:$O$9,10,0)</f>
        <v>0.6</v>
      </c>
    </row>
    <row r="20" customFormat="false" ht="12.8" hidden="false" customHeight="false" outlineLevel="0" collapsed="false">
      <c r="B20" s="2" t="n">
        <v>2</v>
      </c>
      <c r="C20" s="3" t="s">
        <v>77</v>
      </c>
      <c r="D20" s="1" t="s">
        <v>83</v>
      </c>
      <c r="E20" s="1" t="s">
        <v>73</v>
      </c>
      <c r="F20" s="1" t="s">
        <v>79</v>
      </c>
      <c r="G20" s="1" t="s">
        <v>80</v>
      </c>
      <c r="H20" s="4" t="n">
        <f aca="false">VLOOKUP($D20,Size!$A$2:$Z$14,6,0)</f>
        <v>0</v>
      </c>
      <c r="I20" s="13" t="n">
        <f aca="false">INT(($B20*$AZ20*$AX20*$BA20)+($B20*$AY20))</f>
        <v>2</v>
      </c>
      <c r="J20" s="4" t="n">
        <f aca="false">ROUND((($B20*$AT20)+($AV20*$AU20))*$AW20,0)</f>
        <v>2</v>
      </c>
      <c r="K20" s="4" t="n">
        <f aca="false">ROUND((($B20*$AP20)+($B20*$AQ20))*$AS20,0)</f>
        <v>1</v>
      </c>
      <c r="L20" s="4" t="n">
        <f aca="false">ROUND((($B20*$AM20)+($B20*$AN20))*$AO20,0)</f>
        <v>1</v>
      </c>
      <c r="M20" s="4" t="n">
        <f aca="false">ROUND((($B20*$AG20)+($B20*$AH20))*$AI20,0)</f>
        <v>1</v>
      </c>
      <c r="N20" s="4" t="n">
        <f aca="false">ROUND((($B20*$AJ20)+($B20*$AK20))*$AL20,0)</f>
        <v>1</v>
      </c>
      <c r="O20" s="4" t="n">
        <f aca="false">INT($BO20*$B20)</f>
        <v>1</v>
      </c>
      <c r="P20" s="4" t="n">
        <f aca="false">INT($BP20*$B20)</f>
        <v>1</v>
      </c>
      <c r="Q20" s="4" t="n">
        <f aca="false">INT($BQ20*$B20*$AR20)</f>
        <v>0</v>
      </c>
      <c r="R20" s="4" t="n">
        <f aca="false">IF($R$1="WT/G",INT(POWER($BH20*$BJ20*$BI20,0.333333)),0)+IF($R$1="WT/A",INT(($BH20+$BJ20+$BI20)/3),0)+IF($R$1="WT/A2",INT(($BJ20+$BI20)/2),0)+IF($R$1="WT/W",INT(($BH20+$BJ20+$BJ20+$BI20)/4),0)+IF($R$1="WT/W2",INT(($BH20+$BJ20+$BI20+$BI20)/4),0)+IF($R$1="WT/N",INT(MIN($BH20,$BJ20,$BI20)),0)+IF($R$1="WT/M",INT(MAX($BH20,$BJ20,$BI20)),0)+IF($R$1="WT/1",INT($BH20),0)+IF($R$1="WT/2",INT($BI20),0)+IF($R$1="WT/3",INT($BJ20),0)</f>
        <v>6</v>
      </c>
      <c r="S20" s="4" t="n">
        <f aca="false">INT((10+$M20)*$BL20)</f>
        <v>13</v>
      </c>
      <c r="T20" s="4" t="n">
        <f aca="false">INT($I20*$BM20*$BF20)</f>
        <v>0</v>
      </c>
      <c r="U20" s="2" t="n">
        <f aca="false">ROUND(MAX($J20,$L20)+(MIN($J20,$L20)*$X20),0)</f>
        <v>3</v>
      </c>
      <c r="V20" s="2" t="n">
        <f aca="false">MAX(1,INT(((MIN($I20:$J20)+(MAX($I20:$J20)*$H20*$Y20)))*$Z20))</f>
        <v>3</v>
      </c>
      <c r="X20" s="5" t="n">
        <f aca="false">VLOOKUP($E20,Role!$A$2:$O$9,14,0)</f>
        <v>0.75</v>
      </c>
      <c r="Y20" s="5" t="n">
        <f aca="false">VLOOKUP($E20,Role!$A$2:$O$9,15,0)</f>
        <v>1</v>
      </c>
      <c r="Z20" s="5" t="n">
        <f aca="false">VLOOKUP($G20,Movement!$A$2:$C$7,3,0)</f>
        <v>1.5</v>
      </c>
      <c r="AB20" s="5" t="n">
        <f aca="false">INT(5+(($H20-1)/3))</f>
        <v>4</v>
      </c>
      <c r="AC20" s="5" t="n">
        <f aca="false">IF($AB20&lt;$I20,$I20-MAX($AB20,$B20),0)</f>
        <v>0</v>
      </c>
      <c r="AD20" s="5" t="n">
        <f aca="false">(5-ROUND(($H20-1)/3,0))</f>
        <v>5</v>
      </c>
      <c r="AE20" s="5" t="n">
        <f aca="false">IF($AD20&lt;$J20,$J20-MAX($AD20,$B20),0)</f>
        <v>0</v>
      </c>
      <c r="AG20" s="6" t="n">
        <f aca="false">VLOOKUP($F20,Category!$A$2:$AZ$20,24,0)</f>
        <v>0</v>
      </c>
      <c r="AH20" s="6" t="n">
        <f aca="false">VLOOKUP($F20,Category!$A$2:$AZ$20,26,0)</f>
        <v>0.333333333333333</v>
      </c>
      <c r="AI20" s="6" t="n">
        <f aca="false">VLOOKUP($E20,Role!$A$2:$O$9,6,0)</f>
        <v>1</v>
      </c>
      <c r="AJ20" s="6" t="n">
        <f aca="false">VLOOKUP($F20,Category!$A$2:$AZ$20,19,0)</f>
        <v>0.0909090909090909</v>
      </c>
      <c r="AK20" s="6" t="n">
        <f aca="false">VLOOKUP($F20,Category!$A$2:$AZ$20,21,0)</f>
        <v>0.545454545454545</v>
      </c>
      <c r="AL20" s="6" t="n">
        <f aca="false">VLOOKUP($E20,Role!$A$2:$O$9,7,0)</f>
        <v>1</v>
      </c>
      <c r="AM20" s="6" t="n">
        <f aca="false">VLOOKUP($F20,Category!$A$2:$AZ$20,19,0)</f>
        <v>0.0909090909090909</v>
      </c>
      <c r="AN20" s="6" t="n">
        <f aca="false">VLOOKUP($F20,Category!$A$2:$AZ$20,21,0)</f>
        <v>0.545454545454545</v>
      </c>
      <c r="AO20" s="6" t="n">
        <f aca="false">VLOOKUP($E20,Role!$A$2:$O$9,5,0)</f>
        <v>1</v>
      </c>
      <c r="AP20" s="6" t="n">
        <f aca="false">VLOOKUP($F20,Category!$A$2:$AZ$20,9,0)</f>
        <v>0</v>
      </c>
      <c r="AQ20" s="6" t="n">
        <f aca="false">VLOOKUP($F20,Category!$A$2:$AZ$20,11,0)</f>
        <v>0.555555555555556</v>
      </c>
      <c r="AR20" s="6" t="n">
        <f aca="false">VLOOKUP($F20,Category!$A$2:$AZ$20,10,0)</f>
        <v>0.555555555555556</v>
      </c>
      <c r="AS20" s="6" t="n">
        <f aca="false">VLOOKUP($E20,Role!$A$2:$O$9,4,0)</f>
        <v>1</v>
      </c>
      <c r="AT20" s="7" t="n">
        <f aca="false">VLOOKUP($F20,Category!$A$2:$AZ$20,14,0)</f>
        <v>0.416666666666667</v>
      </c>
      <c r="AU20" s="7" t="n">
        <f aca="false">VLOOKUP($F20,Category!$A$2:$AZ$20,16,0)</f>
        <v>0.25</v>
      </c>
      <c r="AV20" s="7" t="n">
        <f aca="false">VLOOKUP($D20,Size!$A$2:$Z$14,17,0)</f>
        <v>3</v>
      </c>
      <c r="AW20" s="7" t="n">
        <f aca="false">VLOOKUP($E20,Role!$A$2:$O$9,3,0)</f>
        <v>1</v>
      </c>
      <c r="AX20" s="7" t="n">
        <f aca="false">VLOOKUP($F20,Category!$A$2:$AZ$20,29,0)</f>
        <v>0.333333333333333</v>
      </c>
      <c r="AY20" s="7" t="n">
        <f aca="false">VLOOKUP($F20,Category!$A$2:$AZ$20,31,0)</f>
        <v>0.333333333333333</v>
      </c>
      <c r="AZ20" s="7" t="n">
        <f aca="false">VLOOKUP($D20,Size!$A$2:$Z$14,16,0)</f>
        <v>2</v>
      </c>
      <c r="BA20" s="7" t="n">
        <f aca="false">VLOOKUP($E20,Role!$A$2:$O$9,2,0)</f>
        <v>1</v>
      </c>
      <c r="BC20" s="7" t="n">
        <f aca="false">VLOOKUP($D20,Size!$A$2:$Z$14,19,0)</f>
        <v>9</v>
      </c>
      <c r="BD20" s="7" t="n">
        <f aca="false">VLOOKUP($D20,Size!$A$2:$Z$14,20,0)</f>
        <v>0.75</v>
      </c>
      <c r="BE20" s="7" t="n">
        <f aca="false">VLOOKUP($E20,Role!$A$2:$O$9,12,0)</f>
        <v>1.5</v>
      </c>
      <c r="BF20" s="7" t="n">
        <f aca="false">VLOOKUP($C20,Type!$A$2:$B$4,2,0)</f>
        <v>0.5</v>
      </c>
      <c r="BG20" s="7" t="n">
        <f aca="false">VLOOKUP($D20,Size!$A$2:$Z$14,18,0)</f>
        <v>10.0928271821888</v>
      </c>
      <c r="BH20" s="7" t="n">
        <f aca="false">INT($BF20*$BG20*$BE20*$B20/2)</f>
        <v>7</v>
      </c>
      <c r="BI20" s="7" t="n">
        <f aca="false">INT(($BC20*$BF20)+($I20*$BD20))</f>
        <v>6</v>
      </c>
      <c r="BJ20" s="7" t="n">
        <f aca="false">INT((($I20*$BE20)+$BC20)*$BF20)</f>
        <v>6</v>
      </c>
      <c r="BK20" s="14"/>
      <c r="BL20" s="7" t="n">
        <f aca="false">VLOOKUP($E20,Role!$A$2:$O$9,13,0)</f>
        <v>1.25</v>
      </c>
      <c r="BM20" s="7" t="n">
        <f aca="false">VLOOKUP($E20,Role!$A$2:$O$9,11,0)</f>
        <v>0.666</v>
      </c>
      <c r="BO20" s="7" t="n">
        <f aca="false">VLOOKUP($E20,Role!$A$2:$O$9,8,0)</f>
        <v>0.75</v>
      </c>
      <c r="BP20" s="7" t="n">
        <f aca="false">VLOOKUP($E20,Role!$A$2:$O$9,9,0)</f>
        <v>0.75</v>
      </c>
      <c r="BQ20" s="7" t="n">
        <f aca="false">VLOOKUP($E20,Role!$A$2:$O$9,10,0)</f>
        <v>0.6</v>
      </c>
    </row>
    <row r="21" customFormat="false" ht="12.8" hidden="false" customHeight="false" outlineLevel="0" collapsed="false">
      <c r="B21" s="2" t="n">
        <v>2</v>
      </c>
      <c r="C21" s="3" t="s">
        <v>77</v>
      </c>
      <c r="D21" s="1" t="s">
        <v>64</v>
      </c>
      <c r="E21" s="1" t="s">
        <v>73</v>
      </c>
      <c r="F21" s="1" t="s">
        <v>79</v>
      </c>
      <c r="G21" s="1" t="s">
        <v>80</v>
      </c>
      <c r="H21" s="4" t="n">
        <f aca="false">VLOOKUP($D21,Size!$A$2:$Z$14,6,0)</f>
        <v>1</v>
      </c>
      <c r="I21" s="13" t="n">
        <f aca="false">INT(($B21*$AZ21*$AX21*$BA21)+($B21*$AY21))</f>
        <v>2</v>
      </c>
      <c r="J21" s="4" t="n">
        <f aca="false">ROUND((($B21*$AT21)+($AV21*$AU21))*$AW21,0)</f>
        <v>2</v>
      </c>
      <c r="K21" s="4" t="n">
        <f aca="false">ROUND((($B21*$AP21)+($B21*$AQ21))*$AS21,0)</f>
        <v>1</v>
      </c>
      <c r="L21" s="4" t="n">
        <f aca="false">ROUND((($B21*$AM21)+($B21*$AN21))*$AO21,0)</f>
        <v>1</v>
      </c>
      <c r="M21" s="4" t="n">
        <f aca="false">ROUND((($B21*$AG21)+($B21*$AH21))*$AI21,0)</f>
        <v>1</v>
      </c>
      <c r="N21" s="4" t="n">
        <f aca="false">ROUND((($B21*$AJ21)+($B21*$AK21))*$AL21,0)</f>
        <v>1</v>
      </c>
      <c r="O21" s="4" t="n">
        <f aca="false">INT($BO21*$B21)</f>
        <v>1</v>
      </c>
      <c r="P21" s="4" t="n">
        <f aca="false">INT($BP21*$B21)</f>
        <v>1</v>
      </c>
      <c r="Q21" s="4" t="n">
        <f aca="false">INT($BQ21*$B21*$AR21)</f>
        <v>0</v>
      </c>
      <c r="R21" s="4" t="n">
        <f aca="false">IF($R$1="WT/G",INT(POWER($BH21*$BJ21*$BI21,0.333333)),0)+IF($R$1="WT/A",INT(($BH21+$BJ21+$BI21)/3),0)+IF($R$1="WT/A2",INT(($BJ21+$BI21)/2),0)+IF($R$1="WT/W",INT(($BH21+$BJ21+$BJ21+$BI21)/4),0)+IF($R$1="WT/W2",INT(($BH21+$BJ21+$BI21+$BI21)/4),0)+IF($R$1="WT/N",INT(MIN($BH21,$BJ21,$BI21)),0)+IF($R$1="WT/M",INT(MAX($BH21,$BJ21,$BI21)),0)+IF($R$1="WT/1",INT($BH21),0)+IF($R$1="WT/2",INT($BI21),0)+IF($R$1="WT/3",INT($BJ21),0)</f>
        <v>7</v>
      </c>
      <c r="S21" s="4" t="n">
        <f aca="false">INT((10+$M21)*$BL21)</f>
        <v>13</v>
      </c>
      <c r="T21" s="4" t="n">
        <f aca="false">INT($I21*$BM21*$BF21)</f>
        <v>0</v>
      </c>
      <c r="U21" s="2" t="n">
        <f aca="false">ROUND(MAX($J21,$L21)+(MIN($J21,$L21)*$X21),0)</f>
        <v>3</v>
      </c>
      <c r="V21" s="2" t="n">
        <f aca="false">MAX(1,INT(((MIN($I21:$J21)+(MAX($I21:$J21)*$H21*$Y21)))*$Z21))</f>
        <v>6</v>
      </c>
      <c r="X21" s="5" t="n">
        <f aca="false">VLOOKUP($E21,Role!$A$2:$O$9,14,0)</f>
        <v>0.75</v>
      </c>
      <c r="Y21" s="5" t="n">
        <f aca="false">VLOOKUP($E21,Role!$A$2:$O$9,15,0)</f>
        <v>1</v>
      </c>
      <c r="Z21" s="5" t="n">
        <f aca="false">VLOOKUP($G21,Movement!$A$2:$C$7,3,0)</f>
        <v>1.5</v>
      </c>
      <c r="AB21" s="5" t="n">
        <f aca="false">INT(5+(($H21-1)/3))</f>
        <v>5</v>
      </c>
      <c r="AC21" s="5" t="n">
        <f aca="false">IF($AB21&lt;$I21,$I21-MAX($AB21,$B21),0)</f>
        <v>0</v>
      </c>
      <c r="AD21" s="5" t="n">
        <f aca="false">(5-ROUND(($H21-1)/3,0))</f>
        <v>5</v>
      </c>
      <c r="AE21" s="5" t="n">
        <f aca="false">IF($AD21&lt;$J21,$J21-MAX($AD21,$B21),0)</f>
        <v>0</v>
      </c>
      <c r="AG21" s="6" t="n">
        <f aca="false">VLOOKUP($F21,Category!$A$2:$AZ$20,24,0)</f>
        <v>0</v>
      </c>
      <c r="AH21" s="6" t="n">
        <f aca="false">VLOOKUP($F21,Category!$A$2:$AZ$20,26,0)</f>
        <v>0.333333333333333</v>
      </c>
      <c r="AI21" s="6" t="n">
        <f aca="false">VLOOKUP($E21,Role!$A$2:$O$9,6,0)</f>
        <v>1</v>
      </c>
      <c r="AJ21" s="6" t="n">
        <f aca="false">VLOOKUP($F21,Category!$A$2:$AZ$20,19,0)</f>
        <v>0.0909090909090909</v>
      </c>
      <c r="AK21" s="6" t="n">
        <f aca="false">VLOOKUP($F21,Category!$A$2:$AZ$20,21,0)</f>
        <v>0.545454545454545</v>
      </c>
      <c r="AL21" s="6" t="n">
        <f aca="false">VLOOKUP($E21,Role!$A$2:$O$9,7,0)</f>
        <v>1</v>
      </c>
      <c r="AM21" s="6" t="n">
        <f aca="false">VLOOKUP($F21,Category!$A$2:$AZ$20,19,0)</f>
        <v>0.0909090909090909</v>
      </c>
      <c r="AN21" s="6" t="n">
        <f aca="false">VLOOKUP($F21,Category!$A$2:$AZ$20,21,0)</f>
        <v>0.545454545454545</v>
      </c>
      <c r="AO21" s="6" t="n">
        <f aca="false">VLOOKUP($E21,Role!$A$2:$O$9,5,0)</f>
        <v>1</v>
      </c>
      <c r="AP21" s="6" t="n">
        <f aca="false">VLOOKUP($F21,Category!$A$2:$AZ$20,9,0)</f>
        <v>0</v>
      </c>
      <c r="AQ21" s="6" t="n">
        <f aca="false">VLOOKUP($F21,Category!$A$2:$AZ$20,11,0)</f>
        <v>0.555555555555556</v>
      </c>
      <c r="AR21" s="6" t="n">
        <f aca="false">VLOOKUP($F21,Category!$A$2:$AZ$20,10,0)</f>
        <v>0.555555555555556</v>
      </c>
      <c r="AS21" s="6" t="n">
        <f aca="false">VLOOKUP($E21,Role!$A$2:$O$9,4,0)</f>
        <v>1</v>
      </c>
      <c r="AT21" s="7" t="n">
        <f aca="false">VLOOKUP($F21,Category!$A$2:$AZ$20,14,0)</f>
        <v>0.416666666666667</v>
      </c>
      <c r="AU21" s="7" t="n">
        <f aca="false">VLOOKUP($F21,Category!$A$2:$AZ$20,16,0)</f>
        <v>0.25</v>
      </c>
      <c r="AV21" s="7" t="n">
        <f aca="false">VLOOKUP($D21,Size!$A$2:$Z$14,17,0)</f>
        <v>3</v>
      </c>
      <c r="AW21" s="7" t="n">
        <f aca="false">VLOOKUP($E21,Role!$A$2:$O$9,3,0)</f>
        <v>1</v>
      </c>
      <c r="AX21" s="7" t="n">
        <f aca="false">VLOOKUP($F21,Category!$A$2:$AZ$20,29,0)</f>
        <v>0.333333333333333</v>
      </c>
      <c r="AY21" s="7" t="n">
        <f aca="false">VLOOKUP($F21,Category!$A$2:$AZ$20,31,0)</f>
        <v>0.333333333333333</v>
      </c>
      <c r="AZ21" s="7" t="n">
        <f aca="false">VLOOKUP($D21,Size!$A$2:$Z$14,16,0)</f>
        <v>3</v>
      </c>
      <c r="BA21" s="7" t="n">
        <f aca="false">VLOOKUP($E21,Role!$A$2:$O$9,2,0)</f>
        <v>1</v>
      </c>
      <c r="BC21" s="7" t="n">
        <f aca="false">VLOOKUP($D21,Size!$A$2:$Z$14,19,0)</f>
        <v>10</v>
      </c>
      <c r="BD21" s="7" t="n">
        <f aca="false">VLOOKUP($D21,Size!$A$2:$Z$14,20,0)</f>
        <v>1</v>
      </c>
      <c r="BE21" s="7" t="n">
        <f aca="false">VLOOKUP($E21,Role!$A$2:$O$9,12,0)</f>
        <v>1.5</v>
      </c>
      <c r="BF21" s="7" t="n">
        <f aca="false">VLOOKUP($C21,Type!$A$2:$B$4,2,0)</f>
        <v>0.5</v>
      </c>
      <c r="BG21" s="7" t="n">
        <f aca="false">VLOOKUP($D21,Size!$A$2:$Z$14,18,0)</f>
        <v>13</v>
      </c>
      <c r="BH21" s="7" t="n">
        <f aca="false">INT($BF21*$BG21*$BE21*$B21/2)</f>
        <v>9</v>
      </c>
      <c r="BI21" s="7" t="n">
        <f aca="false">INT(($BC21*$BF21)+($I21*$BD21))</f>
        <v>7</v>
      </c>
      <c r="BJ21" s="7" t="n">
        <f aca="false">INT((($I21*$BE21)+$BC21)*$BF21)</f>
        <v>6</v>
      </c>
      <c r="BK21" s="14"/>
      <c r="BL21" s="7" t="n">
        <f aca="false">VLOOKUP($E21,Role!$A$2:$O$9,13,0)</f>
        <v>1.25</v>
      </c>
      <c r="BM21" s="7" t="n">
        <f aca="false">VLOOKUP($E21,Role!$A$2:$O$9,11,0)</f>
        <v>0.666</v>
      </c>
      <c r="BO21" s="7" t="n">
        <f aca="false">VLOOKUP($E21,Role!$A$2:$O$9,8,0)</f>
        <v>0.75</v>
      </c>
      <c r="BP21" s="7" t="n">
        <f aca="false">VLOOKUP($E21,Role!$A$2:$O$9,9,0)</f>
        <v>0.75</v>
      </c>
      <c r="BQ21" s="7" t="n">
        <f aca="false">VLOOKUP($E21,Role!$A$2:$O$9,10,0)</f>
        <v>0.6</v>
      </c>
    </row>
    <row r="22" customFormat="false" ht="12.8" hidden="false" customHeight="false" outlineLevel="0" collapsed="false">
      <c r="B22" s="2" t="n">
        <v>2</v>
      </c>
      <c r="C22" s="3" t="s">
        <v>77</v>
      </c>
      <c r="D22" s="1" t="s">
        <v>84</v>
      </c>
      <c r="E22" s="1" t="s">
        <v>73</v>
      </c>
      <c r="F22" s="1" t="s">
        <v>79</v>
      </c>
      <c r="G22" s="1" t="s">
        <v>80</v>
      </c>
      <c r="H22" s="4" t="n">
        <f aca="false">VLOOKUP($D22,Size!$A$2:$Z$14,6,0)</f>
        <v>2</v>
      </c>
      <c r="I22" s="13" t="n">
        <f aca="false">INT(($B22*$AZ22*$AX22*$BA22)+($B22*$AY22))</f>
        <v>2</v>
      </c>
      <c r="J22" s="4" t="n">
        <f aca="false">ROUND((($B22*$AT22)+($AV22*$AU22))*$AW22,0)</f>
        <v>2</v>
      </c>
      <c r="K22" s="4" t="n">
        <f aca="false">ROUND((($B22*$AP22)+($B22*$AQ22))*$AS22,0)</f>
        <v>1</v>
      </c>
      <c r="L22" s="4" t="n">
        <f aca="false">ROUND((($B22*$AM22)+($B22*$AN22))*$AO22,0)</f>
        <v>1</v>
      </c>
      <c r="M22" s="4" t="n">
        <f aca="false">ROUND((($B22*$AG22)+($B22*$AH22))*$AI22,0)</f>
        <v>1</v>
      </c>
      <c r="N22" s="4" t="n">
        <f aca="false">ROUND((($B22*$AJ22)+($B22*$AK22))*$AL22,0)</f>
        <v>1</v>
      </c>
      <c r="O22" s="4" t="n">
        <f aca="false">INT($BO22*$B22)</f>
        <v>1</v>
      </c>
      <c r="P22" s="4" t="n">
        <f aca="false">INT($BP22*$B22)</f>
        <v>1</v>
      </c>
      <c r="Q22" s="4" t="n">
        <f aca="false">INT($BQ22*$B22*$AR22)</f>
        <v>0</v>
      </c>
      <c r="R22" s="4" t="n">
        <f aca="false">IF($R$1="WT/G",INT(POWER($BH22*$BJ22*$BI22,0.333333)),0)+IF($R$1="WT/A",INT(($BH22+$BJ22+$BI22)/3),0)+IF($R$1="WT/A2",INT(($BJ22+$BI22)/2),0)+IF($R$1="WT/W",INT(($BH22+$BJ22+$BJ22+$BI22)/4),0)+IF($R$1="WT/W2",INT(($BH22+$BJ22+$BI22+$BI22)/4),0)+IF($R$1="WT/N",INT(MIN($BH22,$BJ22,$BI22)),0)+IF($R$1="WT/M",INT(MAX($BH22,$BJ22,$BI22)),0)+IF($R$1="WT/1",INT($BH22),0)+IF($R$1="WT/2",INT($BI22),0)+IF($R$1="WT/3",INT($BJ22),0)</f>
        <v>9</v>
      </c>
      <c r="S22" s="4" t="n">
        <f aca="false">INT((10+$M22)*$BL22)</f>
        <v>13</v>
      </c>
      <c r="T22" s="4" t="n">
        <f aca="false">INT($I22*$BM22*$BF22)</f>
        <v>0</v>
      </c>
      <c r="U22" s="2" t="n">
        <f aca="false">ROUND(MAX($J22,$L22)+(MIN($J22,$L22)*$X22),0)</f>
        <v>3</v>
      </c>
      <c r="V22" s="2" t="n">
        <f aca="false">MAX(1,INT(((MIN($I22:$J22)+(MAX($I22:$J22)*$H22*$Y22)))*$Z22))</f>
        <v>9</v>
      </c>
      <c r="X22" s="5" t="n">
        <f aca="false">VLOOKUP($E22,Role!$A$2:$O$9,14,0)</f>
        <v>0.75</v>
      </c>
      <c r="Y22" s="5" t="n">
        <f aca="false">VLOOKUP($E22,Role!$A$2:$O$9,15,0)</f>
        <v>1</v>
      </c>
      <c r="Z22" s="5" t="n">
        <f aca="false">VLOOKUP($G22,Movement!$A$2:$C$7,3,0)</f>
        <v>1.5</v>
      </c>
      <c r="AB22" s="5" t="n">
        <f aca="false">INT(5+(($H22-1)/3))</f>
        <v>5</v>
      </c>
      <c r="AC22" s="5" t="n">
        <f aca="false">IF($AB22&lt;$I22,$I22-MAX($AB22,$B22),0)</f>
        <v>0</v>
      </c>
      <c r="AD22" s="5" t="n">
        <f aca="false">(5-ROUND(($H22-1)/3,0))</f>
        <v>5</v>
      </c>
      <c r="AE22" s="5" t="n">
        <f aca="false">IF($AD22&lt;$J22,$J22-MAX($AD22,$B22),0)</f>
        <v>0</v>
      </c>
      <c r="AG22" s="6" t="n">
        <f aca="false">VLOOKUP($F22,Category!$A$2:$AZ$20,24,0)</f>
        <v>0</v>
      </c>
      <c r="AH22" s="6" t="n">
        <f aca="false">VLOOKUP($F22,Category!$A$2:$AZ$20,26,0)</f>
        <v>0.333333333333333</v>
      </c>
      <c r="AI22" s="6" t="n">
        <f aca="false">VLOOKUP($E22,Role!$A$2:$O$9,6,0)</f>
        <v>1</v>
      </c>
      <c r="AJ22" s="6" t="n">
        <f aca="false">VLOOKUP($F22,Category!$A$2:$AZ$20,19,0)</f>
        <v>0.0909090909090909</v>
      </c>
      <c r="AK22" s="6" t="n">
        <f aca="false">VLOOKUP($F22,Category!$A$2:$AZ$20,21,0)</f>
        <v>0.545454545454545</v>
      </c>
      <c r="AL22" s="6" t="n">
        <f aca="false">VLOOKUP($E22,Role!$A$2:$O$9,7,0)</f>
        <v>1</v>
      </c>
      <c r="AM22" s="6" t="n">
        <f aca="false">VLOOKUP($F22,Category!$A$2:$AZ$20,19,0)</f>
        <v>0.0909090909090909</v>
      </c>
      <c r="AN22" s="6" t="n">
        <f aca="false">VLOOKUP($F22,Category!$A$2:$AZ$20,21,0)</f>
        <v>0.545454545454545</v>
      </c>
      <c r="AO22" s="6" t="n">
        <f aca="false">VLOOKUP($E22,Role!$A$2:$O$9,5,0)</f>
        <v>1</v>
      </c>
      <c r="AP22" s="6" t="n">
        <f aca="false">VLOOKUP($F22,Category!$A$2:$AZ$20,9,0)</f>
        <v>0</v>
      </c>
      <c r="AQ22" s="6" t="n">
        <f aca="false">VLOOKUP($F22,Category!$A$2:$AZ$20,11,0)</f>
        <v>0.555555555555556</v>
      </c>
      <c r="AR22" s="6" t="n">
        <f aca="false">VLOOKUP($F22,Category!$A$2:$AZ$20,10,0)</f>
        <v>0.555555555555556</v>
      </c>
      <c r="AS22" s="6" t="n">
        <f aca="false">VLOOKUP($E22,Role!$A$2:$O$9,4,0)</f>
        <v>1</v>
      </c>
      <c r="AT22" s="7" t="n">
        <f aca="false">VLOOKUP($F22,Category!$A$2:$AZ$20,14,0)</f>
        <v>0.416666666666667</v>
      </c>
      <c r="AU22" s="7" t="n">
        <f aca="false">VLOOKUP($F22,Category!$A$2:$AZ$20,16,0)</f>
        <v>0.25</v>
      </c>
      <c r="AV22" s="7" t="n">
        <f aca="false">VLOOKUP($D22,Size!$A$2:$Z$14,17,0)</f>
        <v>3</v>
      </c>
      <c r="AW22" s="7" t="n">
        <f aca="false">VLOOKUP($E22,Role!$A$2:$O$9,3,0)</f>
        <v>1</v>
      </c>
      <c r="AX22" s="7" t="n">
        <f aca="false">VLOOKUP($F22,Category!$A$2:$AZ$20,29,0)</f>
        <v>0.333333333333333</v>
      </c>
      <c r="AY22" s="7" t="n">
        <f aca="false">VLOOKUP($F22,Category!$A$2:$AZ$20,31,0)</f>
        <v>0.333333333333333</v>
      </c>
      <c r="AZ22" s="7" t="n">
        <f aca="false">VLOOKUP($D22,Size!$A$2:$Z$14,16,0)</f>
        <v>3</v>
      </c>
      <c r="BA22" s="7" t="n">
        <f aca="false">VLOOKUP($E22,Role!$A$2:$O$9,2,0)</f>
        <v>1</v>
      </c>
      <c r="BC22" s="7" t="n">
        <f aca="false">VLOOKUP($D22,Size!$A$2:$Z$14,19,0)</f>
        <v>12</v>
      </c>
      <c r="BD22" s="7" t="n">
        <f aca="false">VLOOKUP($D22,Size!$A$2:$Z$14,20,0)</f>
        <v>1.5</v>
      </c>
      <c r="BE22" s="7" t="n">
        <f aca="false">VLOOKUP($E22,Role!$A$2:$O$9,12,0)</f>
        <v>1.5</v>
      </c>
      <c r="BF22" s="7" t="n">
        <f aca="false">VLOOKUP($C22,Type!$A$2:$B$4,2,0)</f>
        <v>0.5</v>
      </c>
      <c r="BG22" s="7" t="n">
        <f aca="false">VLOOKUP($D22,Size!$A$2:$Z$14,18,0)</f>
        <v>16.2236679323423</v>
      </c>
      <c r="BH22" s="7" t="n">
        <f aca="false">INT($BF22*$BG22*$BE22*$B22/2)</f>
        <v>12</v>
      </c>
      <c r="BI22" s="7" t="n">
        <f aca="false">INT(($BC22*$BF22)+($I22*$BD22))</f>
        <v>9</v>
      </c>
      <c r="BJ22" s="7" t="n">
        <f aca="false">INT((($I22*$BE22)+$BC22)*$BF22)</f>
        <v>7</v>
      </c>
      <c r="BK22" s="14"/>
      <c r="BL22" s="7" t="n">
        <f aca="false">VLOOKUP($E22,Role!$A$2:$O$9,13,0)</f>
        <v>1.25</v>
      </c>
      <c r="BM22" s="7" t="n">
        <f aca="false">VLOOKUP($E22,Role!$A$2:$O$9,11,0)</f>
        <v>0.666</v>
      </c>
      <c r="BO22" s="7" t="n">
        <f aca="false">VLOOKUP($E22,Role!$A$2:$O$9,8,0)</f>
        <v>0.75</v>
      </c>
      <c r="BP22" s="7" t="n">
        <f aca="false">VLOOKUP($E22,Role!$A$2:$O$9,9,0)</f>
        <v>0.75</v>
      </c>
      <c r="BQ22" s="7" t="n">
        <f aca="false">VLOOKUP($E22,Role!$A$2:$O$9,10,0)</f>
        <v>0.6</v>
      </c>
    </row>
    <row r="23" customFormat="false" ht="12.8" hidden="false" customHeight="false" outlineLevel="0" collapsed="false">
      <c r="B23" s="2" t="n">
        <v>2</v>
      </c>
      <c r="C23" s="3" t="s">
        <v>77</v>
      </c>
      <c r="D23" s="1" t="s">
        <v>85</v>
      </c>
      <c r="E23" s="1" t="s">
        <v>73</v>
      </c>
      <c r="F23" s="1" t="s">
        <v>79</v>
      </c>
      <c r="G23" s="1" t="s">
        <v>80</v>
      </c>
      <c r="H23" s="4" t="n">
        <f aca="false">VLOOKUP($D23,Size!$A$2:$Z$14,6,0)</f>
        <v>3</v>
      </c>
      <c r="I23" s="13" t="n">
        <f aca="false">INT(($B23*$AZ23*$AX23*$BA23)+($B23*$AY23))</f>
        <v>3</v>
      </c>
      <c r="J23" s="4" t="n">
        <f aca="false">ROUND((($B23*$AT23)+($AV23*$AU23))*$AW23,0)</f>
        <v>1</v>
      </c>
      <c r="K23" s="4" t="n">
        <f aca="false">ROUND((($B23*$AP23)+($B23*$AQ23))*$AS23,0)</f>
        <v>1</v>
      </c>
      <c r="L23" s="4" t="n">
        <f aca="false">ROUND((($B23*$AM23)+($B23*$AN23))*$AO23,0)</f>
        <v>1</v>
      </c>
      <c r="M23" s="4" t="n">
        <f aca="false">ROUND((($B23*$AG23)+($B23*$AH23))*$AI23,0)</f>
        <v>1</v>
      </c>
      <c r="N23" s="4" t="n">
        <f aca="false">ROUND((($B23*$AJ23)+($B23*$AK23))*$AL23,0)</f>
        <v>1</v>
      </c>
      <c r="O23" s="4" t="n">
        <f aca="false">INT($BO23*$B23)</f>
        <v>1</v>
      </c>
      <c r="P23" s="4" t="n">
        <f aca="false">INT($BP23*$B23)</f>
        <v>1</v>
      </c>
      <c r="Q23" s="4" t="n">
        <f aca="false">INT($BQ23*$B23*$AR23)</f>
        <v>0</v>
      </c>
      <c r="R23" s="4" t="n">
        <f aca="false">IF($R$1="WT/G",INT(POWER($BH23*$BJ23*$BI23,0.333333)),0)+IF($R$1="WT/A",INT(($BH23+$BJ23+$BI23)/3),0)+IF($R$1="WT/A2",INT(($BJ23+$BI23)/2),0)+IF($R$1="WT/W",INT(($BH23+$BJ23+$BJ23+$BI23)/4),0)+IF($R$1="WT/W2",INT(($BH23+$BJ23+$BI23+$BI23)/4),0)+IF($R$1="WT/N",INT(MIN($BH23,$BJ23,$BI23)),0)+IF($R$1="WT/M",INT(MAX($BH23,$BJ23,$BI23)),0)+IF($R$1="WT/1",INT($BH23),0)+IF($R$1="WT/2",INT($BI23),0)+IF($R$1="WT/3",INT($BJ23),0)</f>
        <v>12</v>
      </c>
      <c r="S23" s="4" t="n">
        <f aca="false">INT((10+$M23)*$BL23)</f>
        <v>13</v>
      </c>
      <c r="T23" s="4" t="n">
        <f aca="false">INT($I23*$BM23*$BF23)</f>
        <v>0</v>
      </c>
      <c r="U23" s="2" t="n">
        <f aca="false">ROUND(MAX($J23,$L23)+(MIN($J23,$L23)*$X23),0)</f>
        <v>2</v>
      </c>
      <c r="V23" s="2" t="n">
        <f aca="false">MAX(1,INT(((MIN($I23:$J23)+(MAX($I23:$J23)*$H23*$Y23)))*$Z23))</f>
        <v>15</v>
      </c>
      <c r="X23" s="5" t="n">
        <f aca="false">VLOOKUP($E23,Role!$A$2:$O$9,14,0)</f>
        <v>0.75</v>
      </c>
      <c r="Y23" s="5" t="n">
        <f aca="false">VLOOKUP($E23,Role!$A$2:$O$9,15,0)</f>
        <v>1</v>
      </c>
      <c r="Z23" s="5" t="n">
        <f aca="false">VLOOKUP($G23,Movement!$A$2:$C$7,3,0)</f>
        <v>1.5</v>
      </c>
      <c r="AB23" s="5" t="n">
        <f aca="false">INT(5+(($H23-1)/3))</f>
        <v>5</v>
      </c>
      <c r="AC23" s="5" t="n">
        <f aca="false">IF($AB23&lt;$I23,$I23-MAX($AB23,$B23),0)</f>
        <v>0</v>
      </c>
      <c r="AD23" s="5" t="n">
        <f aca="false">(5-ROUND(($H23-1)/3,0))</f>
        <v>4</v>
      </c>
      <c r="AE23" s="5" t="n">
        <f aca="false">IF($AD23&lt;$J23,$J23-MAX($AD23,$B23),0)</f>
        <v>0</v>
      </c>
      <c r="AG23" s="6" t="n">
        <f aca="false">VLOOKUP($F23,Category!$A$2:$AZ$20,24,0)</f>
        <v>0</v>
      </c>
      <c r="AH23" s="6" t="n">
        <f aca="false">VLOOKUP($F23,Category!$A$2:$AZ$20,26,0)</f>
        <v>0.333333333333333</v>
      </c>
      <c r="AI23" s="6" t="n">
        <f aca="false">VLOOKUP($E23,Role!$A$2:$O$9,6,0)</f>
        <v>1</v>
      </c>
      <c r="AJ23" s="6" t="n">
        <f aca="false">VLOOKUP($F23,Category!$A$2:$AZ$20,19,0)</f>
        <v>0.0909090909090909</v>
      </c>
      <c r="AK23" s="6" t="n">
        <f aca="false">VLOOKUP($F23,Category!$A$2:$AZ$20,21,0)</f>
        <v>0.545454545454545</v>
      </c>
      <c r="AL23" s="6" t="n">
        <f aca="false">VLOOKUP($E23,Role!$A$2:$O$9,7,0)</f>
        <v>1</v>
      </c>
      <c r="AM23" s="6" t="n">
        <f aca="false">VLOOKUP($F23,Category!$A$2:$AZ$20,19,0)</f>
        <v>0.0909090909090909</v>
      </c>
      <c r="AN23" s="6" t="n">
        <f aca="false">VLOOKUP($F23,Category!$A$2:$AZ$20,21,0)</f>
        <v>0.545454545454545</v>
      </c>
      <c r="AO23" s="6" t="n">
        <f aca="false">VLOOKUP($E23,Role!$A$2:$O$9,5,0)</f>
        <v>1</v>
      </c>
      <c r="AP23" s="6" t="n">
        <f aca="false">VLOOKUP($F23,Category!$A$2:$AZ$20,9,0)</f>
        <v>0</v>
      </c>
      <c r="AQ23" s="6" t="n">
        <f aca="false">VLOOKUP($F23,Category!$A$2:$AZ$20,11,0)</f>
        <v>0.555555555555556</v>
      </c>
      <c r="AR23" s="6" t="n">
        <f aca="false">VLOOKUP($F23,Category!$A$2:$AZ$20,10,0)</f>
        <v>0.555555555555556</v>
      </c>
      <c r="AS23" s="6" t="n">
        <f aca="false">VLOOKUP($E23,Role!$A$2:$O$9,4,0)</f>
        <v>1</v>
      </c>
      <c r="AT23" s="7" t="n">
        <f aca="false">VLOOKUP($F23,Category!$A$2:$AZ$20,14,0)</f>
        <v>0.416666666666667</v>
      </c>
      <c r="AU23" s="7" t="n">
        <f aca="false">VLOOKUP($F23,Category!$A$2:$AZ$20,16,0)</f>
        <v>0.25</v>
      </c>
      <c r="AV23" s="7" t="n">
        <f aca="false">VLOOKUP($D23,Size!$A$2:$Z$14,17,0)</f>
        <v>2</v>
      </c>
      <c r="AW23" s="7" t="n">
        <f aca="false">VLOOKUP($E23,Role!$A$2:$O$9,3,0)</f>
        <v>1</v>
      </c>
      <c r="AX23" s="7" t="n">
        <f aca="false">VLOOKUP($F23,Category!$A$2:$AZ$20,29,0)</f>
        <v>0.333333333333333</v>
      </c>
      <c r="AY23" s="7" t="n">
        <f aca="false">VLOOKUP($F23,Category!$A$2:$AZ$20,31,0)</f>
        <v>0.333333333333333</v>
      </c>
      <c r="AZ23" s="7" t="n">
        <f aca="false">VLOOKUP($D23,Size!$A$2:$Z$14,16,0)</f>
        <v>4</v>
      </c>
      <c r="BA23" s="7" t="n">
        <f aca="false">VLOOKUP($E23,Role!$A$2:$O$9,2,0)</f>
        <v>1</v>
      </c>
      <c r="BC23" s="7" t="n">
        <f aca="false">VLOOKUP($D23,Size!$A$2:$Z$14,19,0)</f>
        <v>14</v>
      </c>
      <c r="BD23" s="7" t="n">
        <f aca="false">VLOOKUP($D23,Size!$A$2:$Z$14,20,0)</f>
        <v>2</v>
      </c>
      <c r="BE23" s="7" t="n">
        <f aca="false">VLOOKUP($E23,Role!$A$2:$O$9,12,0)</f>
        <v>1.5</v>
      </c>
      <c r="BF23" s="7" t="n">
        <f aca="false">VLOOKUP($C23,Type!$A$2:$B$4,2,0)</f>
        <v>0.5</v>
      </c>
      <c r="BG23" s="7" t="n">
        <f aca="false">VLOOKUP($D23,Size!$A$2:$Z$14,18,0)</f>
        <v>21.7830216372384</v>
      </c>
      <c r="BH23" s="7" t="n">
        <f aca="false">INT($BF23*$BG23*$BE23*$B23/2)</f>
        <v>16</v>
      </c>
      <c r="BI23" s="7" t="n">
        <f aca="false">INT(($BC23*$BF23)+($I23*$BD23))</f>
        <v>13</v>
      </c>
      <c r="BJ23" s="7" t="n">
        <f aca="false">INT((($I23*$BE23)+$BC23)*$BF23)</f>
        <v>9</v>
      </c>
      <c r="BK23" s="14"/>
      <c r="BL23" s="7" t="n">
        <f aca="false">VLOOKUP($E23,Role!$A$2:$O$9,13,0)</f>
        <v>1.25</v>
      </c>
      <c r="BM23" s="7" t="n">
        <f aca="false">VLOOKUP($E23,Role!$A$2:$O$9,11,0)</f>
        <v>0.666</v>
      </c>
      <c r="BO23" s="7" t="n">
        <f aca="false">VLOOKUP($E23,Role!$A$2:$O$9,8,0)</f>
        <v>0.75</v>
      </c>
      <c r="BP23" s="7" t="n">
        <f aca="false">VLOOKUP($E23,Role!$A$2:$O$9,9,0)</f>
        <v>0.75</v>
      </c>
      <c r="BQ23" s="7" t="n">
        <f aca="false">VLOOKUP($E23,Role!$A$2:$O$9,10,0)</f>
        <v>0.6</v>
      </c>
    </row>
    <row r="24" customFormat="false" ht="12.8" hidden="false" customHeight="false" outlineLevel="0" collapsed="false">
      <c r="B24" s="2" t="n">
        <v>2</v>
      </c>
      <c r="C24" s="3" t="s">
        <v>77</v>
      </c>
      <c r="D24" s="1" t="s">
        <v>86</v>
      </c>
      <c r="E24" s="1" t="s">
        <v>73</v>
      </c>
      <c r="F24" s="1" t="s">
        <v>79</v>
      </c>
      <c r="G24" s="1" t="s">
        <v>80</v>
      </c>
      <c r="H24" s="4" t="n">
        <f aca="false">VLOOKUP($D24,Size!$A$2:$Z$14,6,0)</f>
        <v>4</v>
      </c>
      <c r="I24" s="13" t="n">
        <f aca="false">INT(($B24*$AZ24*$AX24*$BA24)+($B24*$AY24))</f>
        <v>3</v>
      </c>
      <c r="J24" s="4" t="n">
        <f aca="false">ROUND((($B24*$AT24)+($AV24*$AU24))*$AW24,0)</f>
        <v>1</v>
      </c>
      <c r="K24" s="4" t="n">
        <f aca="false">ROUND((($B24*$AP24)+($B24*$AQ24))*$AS24,0)</f>
        <v>1</v>
      </c>
      <c r="L24" s="4" t="n">
        <f aca="false">ROUND((($B24*$AM24)+($B24*$AN24))*$AO24,0)</f>
        <v>1</v>
      </c>
      <c r="M24" s="4" t="n">
        <f aca="false">ROUND((($B24*$AG24)+($B24*$AH24))*$AI24,0)</f>
        <v>1</v>
      </c>
      <c r="N24" s="4" t="n">
        <f aca="false">ROUND((($B24*$AJ24)+($B24*$AK24))*$AL24,0)</f>
        <v>1</v>
      </c>
      <c r="O24" s="4" t="n">
        <f aca="false">INT($BO24*$B24)</f>
        <v>1</v>
      </c>
      <c r="P24" s="4" t="n">
        <f aca="false">INT($BP24*$B24)</f>
        <v>1</v>
      </c>
      <c r="Q24" s="4" t="n">
        <f aca="false">INT($BQ24*$B24*$AR24)</f>
        <v>0</v>
      </c>
      <c r="R24" s="4" t="n">
        <f aca="false">IF($R$1="WT/G",INT(POWER($BH24*$BJ24*$BI24,0.333333)),0)+IF($R$1="WT/A",INT(($BH24+$BJ24+$BI24)/3),0)+IF($R$1="WT/A2",INT(($BJ24+$BI24)/2),0)+IF($R$1="WT/W",INT(($BH24+$BJ24+$BJ24+$BI24)/4),0)+IF($R$1="WT/W2",INT(($BH24+$BJ24+$BI24+$BI24)/4),0)+IF($R$1="WT/N",INT(MIN($BH24,$BJ24,$BI24)),0)+IF($R$1="WT/M",INT(MAX($BH24,$BJ24,$BI24)),0)+IF($R$1="WT/1",INT($BH24),0)+IF($R$1="WT/2",INT($BI24),0)+IF($R$1="WT/3",INT($BJ24),0)</f>
        <v>15</v>
      </c>
      <c r="S24" s="4" t="n">
        <f aca="false">INT((10+$M24)*$BL24)</f>
        <v>13</v>
      </c>
      <c r="T24" s="4" t="n">
        <f aca="false">INT($I24*$BM24*$BF24)</f>
        <v>0</v>
      </c>
      <c r="U24" s="2" t="n">
        <f aca="false">ROUND(MAX($J24,$L24)+(MIN($J24,$L24)*$X24),0)</f>
        <v>2</v>
      </c>
      <c r="V24" s="2" t="n">
        <f aca="false">MAX(1,INT(((MIN($I24:$J24)+(MAX($I24:$J24)*$H24*$Y24)))*$Z24))</f>
        <v>19</v>
      </c>
      <c r="X24" s="5" t="n">
        <f aca="false">VLOOKUP($E24,Role!$A$2:$O$9,14,0)</f>
        <v>0.75</v>
      </c>
      <c r="Y24" s="5" t="n">
        <f aca="false">VLOOKUP($E24,Role!$A$2:$O$9,15,0)</f>
        <v>1</v>
      </c>
      <c r="Z24" s="5" t="n">
        <f aca="false">VLOOKUP($G24,Movement!$A$2:$C$7,3,0)</f>
        <v>1.5</v>
      </c>
      <c r="AB24" s="5" t="n">
        <f aca="false">INT(5+(($H24-1)/3))</f>
        <v>6</v>
      </c>
      <c r="AC24" s="5" t="n">
        <f aca="false">IF($AB24&lt;$I24,$I24-MAX($AB24,$B24),0)</f>
        <v>0</v>
      </c>
      <c r="AD24" s="5" t="n">
        <f aca="false">(5-ROUND(($H24-1)/3,0))</f>
        <v>4</v>
      </c>
      <c r="AE24" s="5" t="n">
        <f aca="false">IF($AD24&lt;$J24,$J24-MAX($AD24,$B24),0)</f>
        <v>0</v>
      </c>
      <c r="AG24" s="6" t="n">
        <f aca="false">VLOOKUP($F24,Category!$A$2:$AZ$20,24,0)</f>
        <v>0</v>
      </c>
      <c r="AH24" s="6" t="n">
        <f aca="false">VLOOKUP($F24,Category!$A$2:$AZ$20,26,0)</f>
        <v>0.333333333333333</v>
      </c>
      <c r="AI24" s="6" t="n">
        <f aca="false">VLOOKUP($E24,Role!$A$2:$O$9,6,0)</f>
        <v>1</v>
      </c>
      <c r="AJ24" s="6" t="n">
        <f aca="false">VLOOKUP($F24,Category!$A$2:$AZ$20,19,0)</f>
        <v>0.0909090909090909</v>
      </c>
      <c r="AK24" s="6" t="n">
        <f aca="false">VLOOKUP($F24,Category!$A$2:$AZ$20,21,0)</f>
        <v>0.545454545454545</v>
      </c>
      <c r="AL24" s="6" t="n">
        <f aca="false">VLOOKUP($E24,Role!$A$2:$O$9,7,0)</f>
        <v>1</v>
      </c>
      <c r="AM24" s="6" t="n">
        <f aca="false">VLOOKUP($F24,Category!$A$2:$AZ$20,19,0)</f>
        <v>0.0909090909090909</v>
      </c>
      <c r="AN24" s="6" t="n">
        <f aca="false">VLOOKUP($F24,Category!$A$2:$AZ$20,21,0)</f>
        <v>0.545454545454545</v>
      </c>
      <c r="AO24" s="6" t="n">
        <f aca="false">VLOOKUP($E24,Role!$A$2:$O$9,5,0)</f>
        <v>1</v>
      </c>
      <c r="AP24" s="6" t="n">
        <f aca="false">VLOOKUP($F24,Category!$A$2:$AZ$20,9,0)</f>
        <v>0</v>
      </c>
      <c r="AQ24" s="6" t="n">
        <f aca="false">VLOOKUP($F24,Category!$A$2:$AZ$20,11,0)</f>
        <v>0.555555555555556</v>
      </c>
      <c r="AR24" s="6" t="n">
        <f aca="false">VLOOKUP($F24,Category!$A$2:$AZ$20,10,0)</f>
        <v>0.555555555555556</v>
      </c>
      <c r="AS24" s="6" t="n">
        <f aca="false">VLOOKUP($E24,Role!$A$2:$O$9,4,0)</f>
        <v>1</v>
      </c>
      <c r="AT24" s="7" t="n">
        <f aca="false">VLOOKUP($F24,Category!$A$2:$AZ$20,14,0)</f>
        <v>0.416666666666667</v>
      </c>
      <c r="AU24" s="7" t="n">
        <f aca="false">VLOOKUP($F24,Category!$A$2:$AZ$20,16,0)</f>
        <v>0.25</v>
      </c>
      <c r="AV24" s="7" t="n">
        <f aca="false">VLOOKUP($D24,Size!$A$2:$Z$14,17,0)</f>
        <v>2</v>
      </c>
      <c r="AW24" s="7" t="n">
        <f aca="false">VLOOKUP($E24,Role!$A$2:$O$9,3,0)</f>
        <v>1</v>
      </c>
      <c r="AX24" s="7" t="n">
        <f aca="false">VLOOKUP($F24,Category!$A$2:$AZ$20,29,0)</f>
        <v>0.333333333333333</v>
      </c>
      <c r="AY24" s="7" t="n">
        <f aca="false">VLOOKUP($F24,Category!$A$2:$AZ$20,31,0)</f>
        <v>0.333333333333333</v>
      </c>
      <c r="AZ24" s="7" t="n">
        <f aca="false">VLOOKUP($D24,Size!$A$2:$Z$14,16,0)</f>
        <v>4</v>
      </c>
      <c r="BA24" s="7" t="n">
        <f aca="false">VLOOKUP($E24,Role!$A$2:$O$9,2,0)</f>
        <v>1</v>
      </c>
      <c r="BC24" s="7" t="n">
        <f aca="false">VLOOKUP($D24,Size!$A$2:$Z$14,19,0)</f>
        <v>16</v>
      </c>
      <c r="BD24" s="7" t="n">
        <f aca="false">VLOOKUP($D24,Size!$A$2:$Z$14,20,0)</f>
        <v>3</v>
      </c>
      <c r="BE24" s="7" t="n">
        <f aca="false">VLOOKUP($E24,Role!$A$2:$O$9,12,0)</f>
        <v>1.5</v>
      </c>
      <c r="BF24" s="7" t="n">
        <f aca="false">VLOOKUP($C24,Type!$A$2:$B$4,2,0)</f>
        <v>0.5</v>
      </c>
      <c r="BG24" s="7" t="n">
        <f aca="false">VLOOKUP($D24,Size!$A$2:$Z$14,18,0)</f>
        <v>25.3004131186338</v>
      </c>
      <c r="BH24" s="7" t="n">
        <f aca="false">INT($BF24*$BG24*$BE24*$B24/2)</f>
        <v>18</v>
      </c>
      <c r="BI24" s="7" t="n">
        <f aca="false">INT(($BC24*$BF24)+($I24*$BD24))</f>
        <v>17</v>
      </c>
      <c r="BJ24" s="7" t="n">
        <f aca="false">INT((($I24*$BE24)+$BC24)*$BF24)</f>
        <v>10</v>
      </c>
      <c r="BK24" s="14"/>
      <c r="BL24" s="7" t="n">
        <f aca="false">VLOOKUP($E24,Role!$A$2:$O$9,13,0)</f>
        <v>1.25</v>
      </c>
      <c r="BM24" s="7" t="n">
        <f aca="false">VLOOKUP($E24,Role!$A$2:$O$9,11,0)</f>
        <v>0.666</v>
      </c>
      <c r="BO24" s="7" t="n">
        <f aca="false">VLOOKUP($E24,Role!$A$2:$O$9,8,0)</f>
        <v>0.75</v>
      </c>
      <c r="BP24" s="7" t="n">
        <f aca="false">VLOOKUP($E24,Role!$A$2:$O$9,9,0)</f>
        <v>0.75</v>
      </c>
      <c r="BQ24" s="7" t="n">
        <f aca="false">VLOOKUP($E24,Role!$A$2:$O$9,10,0)</f>
        <v>0.6</v>
      </c>
    </row>
    <row r="25" customFormat="false" ht="12.8" hidden="false" customHeight="false" outlineLevel="0" collapsed="false">
      <c r="B25" s="2" t="n">
        <v>2</v>
      </c>
      <c r="C25" s="3" t="s">
        <v>77</v>
      </c>
      <c r="D25" s="1" t="s">
        <v>87</v>
      </c>
      <c r="E25" s="1" t="s">
        <v>73</v>
      </c>
      <c r="F25" s="1" t="s">
        <v>79</v>
      </c>
      <c r="G25" s="1" t="s">
        <v>80</v>
      </c>
      <c r="H25" s="4" t="n">
        <f aca="false">VLOOKUP($D25,Size!$A$2:$Z$14,6,0)</f>
        <v>5</v>
      </c>
      <c r="I25" s="13" t="n">
        <f aca="false">INT(($B25*$AZ25*$AX25*$BA25)+($B25*$AY25))</f>
        <v>4</v>
      </c>
      <c r="J25" s="4" t="n">
        <f aca="false">ROUND((($B25*$AT25)+($AV25*$AU25))*$AW25,0)</f>
        <v>1</v>
      </c>
      <c r="K25" s="4" t="n">
        <f aca="false">ROUND((($B25*$AP25)+($B25*$AQ25))*$AS25,0)</f>
        <v>1</v>
      </c>
      <c r="L25" s="4" t="n">
        <f aca="false">ROUND((($B25*$AM25)+($B25*$AN25))*$AO25,0)</f>
        <v>1</v>
      </c>
      <c r="M25" s="4" t="n">
        <f aca="false">ROUND((($B25*$AG25)+($B25*$AH25))*$AI25,0)</f>
        <v>1</v>
      </c>
      <c r="N25" s="4" t="n">
        <f aca="false">ROUND((($B25*$AJ25)+($B25*$AK25))*$AL25,0)</f>
        <v>1</v>
      </c>
      <c r="O25" s="4" t="n">
        <f aca="false">INT($BO25*$B25)</f>
        <v>1</v>
      </c>
      <c r="P25" s="4" t="n">
        <f aca="false">INT($BP25*$B25)</f>
        <v>1</v>
      </c>
      <c r="Q25" s="4" t="n">
        <f aca="false">INT($BQ25*$B25*$AR25)</f>
        <v>0</v>
      </c>
      <c r="R25" s="4" t="n">
        <f aca="false">IF($R$1="WT/G",INT(POWER($BH25*$BJ25*$BI25,0.333333)),0)+IF($R$1="WT/A",INT(($BH25+$BJ25+$BI25)/3),0)+IF($R$1="WT/A2",INT(($BJ25+$BI25)/2),0)+IF($R$1="WT/W",INT(($BH25+$BJ25+$BJ25+$BI25)/4),0)+IF($R$1="WT/W2",INT(($BH25+$BJ25+$BI25+$BI25)/4),0)+IF($R$1="WT/N",INT(MIN($BH25,$BJ25,$BI25)),0)+IF($R$1="WT/M",INT(MAX($BH25,$BJ25,$BI25)),0)+IF($R$1="WT/1",INT($BH25),0)+IF($R$1="WT/2",INT($BI25),0)+IF($R$1="WT/3",INT($BJ25),0)</f>
        <v>21</v>
      </c>
      <c r="S25" s="4" t="n">
        <f aca="false">INT((10+$M25)*$BL25)</f>
        <v>13</v>
      </c>
      <c r="T25" s="4" t="n">
        <f aca="false">INT($I25*$BM25*$BF25)</f>
        <v>1</v>
      </c>
      <c r="U25" s="2" t="n">
        <f aca="false">ROUND(MAX($J25,$L25)+(MIN($J25,$L25)*$X25),0)</f>
        <v>2</v>
      </c>
      <c r="V25" s="2" t="n">
        <f aca="false">MAX(1,INT(((MIN($I25:$J25)+(MAX($I25:$J25)*$H25*$Y25)))*$Z25))</f>
        <v>31</v>
      </c>
      <c r="X25" s="5" t="n">
        <f aca="false">VLOOKUP($E25,Role!$A$2:$O$9,14,0)</f>
        <v>0.75</v>
      </c>
      <c r="Y25" s="5" t="n">
        <f aca="false">VLOOKUP($E25,Role!$A$2:$O$9,15,0)</f>
        <v>1</v>
      </c>
      <c r="Z25" s="5" t="n">
        <f aca="false">VLOOKUP($G25,Movement!$A$2:$C$7,3,0)</f>
        <v>1.5</v>
      </c>
      <c r="AB25" s="5" t="n">
        <f aca="false">INT(5+(($H25-1)/3))</f>
        <v>6</v>
      </c>
      <c r="AC25" s="5" t="n">
        <f aca="false">IF($AB25&lt;$I25,$I25-MAX($AB25,$B25),0)</f>
        <v>0</v>
      </c>
      <c r="AD25" s="5" t="n">
        <f aca="false">(5-ROUND(($H25-1)/3,0))</f>
        <v>4</v>
      </c>
      <c r="AE25" s="5" t="n">
        <f aca="false">IF($AD25&lt;$J25,$J25-MAX($AD25,$B25),0)</f>
        <v>0</v>
      </c>
      <c r="AG25" s="6" t="n">
        <f aca="false">VLOOKUP($F25,Category!$A$2:$AZ$20,24,0)</f>
        <v>0</v>
      </c>
      <c r="AH25" s="6" t="n">
        <f aca="false">VLOOKUP($F25,Category!$A$2:$AZ$20,26,0)</f>
        <v>0.333333333333333</v>
      </c>
      <c r="AI25" s="6" t="n">
        <f aca="false">VLOOKUP($E25,Role!$A$2:$O$9,6,0)</f>
        <v>1</v>
      </c>
      <c r="AJ25" s="6" t="n">
        <f aca="false">VLOOKUP($F25,Category!$A$2:$AZ$20,19,0)</f>
        <v>0.0909090909090909</v>
      </c>
      <c r="AK25" s="6" t="n">
        <f aca="false">VLOOKUP($F25,Category!$A$2:$AZ$20,21,0)</f>
        <v>0.545454545454545</v>
      </c>
      <c r="AL25" s="6" t="n">
        <f aca="false">VLOOKUP($E25,Role!$A$2:$O$9,7,0)</f>
        <v>1</v>
      </c>
      <c r="AM25" s="6" t="n">
        <f aca="false">VLOOKUP($F25,Category!$A$2:$AZ$20,19,0)</f>
        <v>0.0909090909090909</v>
      </c>
      <c r="AN25" s="6" t="n">
        <f aca="false">VLOOKUP($F25,Category!$A$2:$AZ$20,21,0)</f>
        <v>0.545454545454545</v>
      </c>
      <c r="AO25" s="6" t="n">
        <f aca="false">VLOOKUP($E25,Role!$A$2:$O$9,5,0)</f>
        <v>1</v>
      </c>
      <c r="AP25" s="6" t="n">
        <f aca="false">VLOOKUP($F25,Category!$A$2:$AZ$20,9,0)</f>
        <v>0</v>
      </c>
      <c r="AQ25" s="6" t="n">
        <f aca="false">VLOOKUP($F25,Category!$A$2:$AZ$20,11,0)</f>
        <v>0.555555555555556</v>
      </c>
      <c r="AR25" s="6" t="n">
        <f aca="false">VLOOKUP($F25,Category!$A$2:$AZ$20,10,0)</f>
        <v>0.555555555555556</v>
      </c>
      <c r="AS25" s="6" t="n">
        <f aca="false">VLOOKUP($E25,Role!$A$2:$O$9,4,0)</f>
        <v>1</v>
      </c>
      <c r="AT25" s="7" t="n">
        <f aca="false">VLOOKUP($F25,Category!$A$2:$AZ$20,14,0)</f>
        <v>0.416666666666667</v>
      </c>
      <c r="AU25" s="7" t="n">
        <f aca="false">VLOOKUP($F25,Category!$A$2:$AZ$20,16,0)</f>
        <v>0.25</v>
      </c>
      <c r="AV25" s="7" t="n">
        <f aca="false">VLOOKUP($D25,Size!$A$2:$Z$14,17,0)</f>
        <v>2</v>
      </c>
      <c r="AW25" s="7" t="n">
        <f aca="false">VLOOKUP($E25,Role!$A$2:$O$9,3,0)</f>
        <v>1</v>
      </c>
      <c r="AX25" s="7" t="n">
        <f aca="false">VLOOKUP($F25,Category!$A$2:$AZ$20,29,0)</f>
        <v>0.333333333333333</v>
      </c>
      <c r="AY25" s="7" t="n">
        <f aca="false">VLOOKUP($F25,Category!$A$2:$AZ$20,31,0)</f>
        <v>0.333333333333333</v>
      </c>
      <c r="AZ25" s="7" t="n">
        <f aca="false">VLOOKUP($D25,Size!$A$2:$Z$14,16,0)</f>
        <v>5</v>
      </c>
      <c r="BA25" s="7" t="n">
        <f aca="false">VLOOKUP($E25,Role!$A$2:$O$9,2,0)</f>
        <v>1</v>
      </c>
      <c r="BC25" s="7" t="n">
        <f aca="false">VLOOKUP($D25,Size!$A$2:$Z$14,19,0)</f>
        <v>18</v>
      </c>
      <c r="BD25" s="7" t="n">
        <f aca="false">VLOOKUP($D25,Size!$A$2:$Z$14,20,0)</f>
        <v>4</v>
      </c>
      <c r="BE25" s="7" t="n">
        <f aca="false">VLOOKUP($E25,Role!$A$2:$O$9,12,0)</f>
        <v>1.5</v>
      </c>
      <c r="BF25" s="7" t="n">
        <f aca="false">VLOOKUP($C25,Type!$A$2:$B$4,2,0)</f>
        <v>0.5</v>
      </c>
      <c r="BG25" s="7" t="n">
        <f aca="false">VLOOKUP($D25,Size!$A$2:$Z$14,18,0)</f>
        <v>31.2018765062488</v>
      </c>
      <c r="BH25" s="7" t="n">
        <f aca="false">INT($BF25*$BG25*$BE25*$B25/2)</f>
        <v>23</v>
      </c>
      <c r="BI25" s="7" t="n">
        <f aca="false">INT(($BC25*$BF25)+($I25*$BD25))</f>
        <v>25</v>
      </c>
      <c r="BJ25" s="7" t="n">
        <f aca="false">INT((($I25*$BE25)+$BC25)*$BF25)</f>
        <v>12</v>
      </c>
      <c r="BK25" s="14"/>
      <c r="BL25" s="7" t="n">
        <f aca="false">VLOOKUP($E25,Role!$A$2:$O$9,13,0)</f>
        <v>1.25</v>
      </c>
      <c r="BM25" s="7" t="n">
        <f aca="false">VLOOKUP($E25,Role!$A$2:$O$9,11,0)</f>
        <v>0.666</v>
      </c>
      <c r="BO25" s="7" t="n">
        <f aca="false">VLOOKUP($E25,Role!$A$2:$O$9,8,0)</f>
        <v>0.75</v>
      </c>
      <c r="BP25" s="7" t="n">
        <f aca="false">VLOOKUP($E25,Role!$A$2:$O$9,9,0)</f>
        <v>0.75</v>
      </c>
      <c r="BQ25" s="7" t="n">
        <f aca="false">VLOOKUP($E25,Role!$A$2:$O$9,10,0)</f>
        <v>0.6</v>
      </c>
    </row>
    <row r="26" customFormat="false" ht="12.8" hidden="false" customHeight="false" outlineLevel="0" collapsed="false">
      <c r="B26" s="2" t="n">
        <v>2</v>
      </c>
      <c r="C26" s="3" t="s">
        <v>77</v>
      </c>
      <c r="D26" s="1" t="s">
        <v>88</v>
      </c>
      <c r="E26" s="1" t="s">
        <v>73</v>
      </c>
      <c r="F26" s="1" t="s">
        <v>79</v>
      </c>
      <c r="G26" s="1" t="s">
        <v>80</v>
      </c>
      <c r="H26" s="4" t="n">
        <f aca="false">VLOOKUP($D26,Size!$A$2:$Z$14,6,0)</f>
        <v>6</v>
      </c>
      <c r="I26" s="13" t="n">
        <f aca="false">INT(($B26*$AZ26*$AX26*$BA26)+($B26*$AY26))</f>
        <v>4</v>
      </c>
      <c r="J26" s="4" t="n">
        <f aca="false">ROUND((($B26*$AT26)+($AV26*$AU26))*$AW26,0)</f>
        <v>1</v>
      </c>
      <c r="K26" s="4" t="n">
        <f aca="false">ROUND((($B26*$AP26)+($B26*$AQ26))*$AS26,0)</f>
        <v>1</v>
      </c>
      <c r="L26" s="4" t="n">
        <f aca="false">ROUND((($B26*$AM26)+($B26*$AN26))*$AO26,0)</f>
        <v>1</v>
      </c>
      <c r="M26" s="4" t="n">
        <f aca="false">ROUND((($B26*$AG26)+($B26*$AH26))*$AI26,0)</f>
        <v>1</v>
      </c>
      <c r="N26" s="4" t="n">
        <f aca="false">ROUND((($B26*$AJ26)+($B26*$AK26))*$AL26,0)</f>
        <v>1</v>
      </c>
      <c r="O26" s="4" t="n">
        <f aca="false">INT($BO26*$B26)</f>
        <v>1</v>
      </c>
      <c r="P26" s="4" t="n">
        <f aca="false">INT($BP26*$B26)</f>
        <v>1</v>
      </c>
      <c r="Q26" s="4" t="n">
        <f aca="false">INT($BQ26*$B26*$AR26)</f>
        <v>0</v>
      </c>
      <c r="R26" s="4" t="n">
        <f aca="false">IF($R$1="WT/G",INT(POWER($BH26*$BJ26*$BI26,0.333333)),0)+IF($R$1="WT/A",INT(($BH26+$BJ26+$BI26)/3),0)+IF($R$1="WT/A2",INT(($BJ26+$BI26)/2),0)+IF($R$1="WT/W",INT(($BH26+$BJ26+$BJ26+$BI26)/4),0)+IF($R$1="WT/W2",INT(($BH26+$BJ26+$BI26+$BI26)/4),0)+IF($R$1="WT/N",INT(MIN($BH26,$BJ26,$BI26)),0)+IF($R$1="WT/M",INT(MAX($BH26,$BJ26,$BI26)),0)+IF($R$1="WT/1",INT($BH26),0)+IF($R$1="WT/2",INT($BI26),0)+IF($R$1="WT/3",INT($BJ26),0)</f>
        <v>25</v>
      </c>
      <c r="S26" s="4" t="n">
        <f aca="false">INT((10+$M26)*$BL26)</f>
        <v>13</v>
      </c>
      <c r="T26" s="4" t="n">
        <f aca="false">INT($I26*$BM26*$BF26)</f>
        <v>1</v>
      </c>
      <c r="U26" s="2" t="n">
        <f aca="false">ROUND(MAX($J26,$L26)+(MIN($J26,$L26)*$X26),0)</f>
        <v>2</v>
      </c>
      <c r="V26" s="2" t="n">
        <f aca="false">MAX(1,INT(((MIN($I26:$J26)+(MAX($I26:$J26)*$H26*$Y26)))*$Z26))</f>
        <v>37</v>
      </c>
      <c r="X26" s="5" t="n">
        <f aca="false">VLOOKUP($E26,Role!$A$2:$O$9,14,0)</f>
        <v>0.75</v>
      </c>
      <c r="Y26" s="5" t="n">
        <f aca="false">VLOOKUP($E26,Role!$A$2:$O$9,15,0)</f>
        <v>1</v>
      </c>
      <c r="Z26" s="5" t="n">
        <f aca="false">VLOOKUP($G26,Movement!$A$2:$C$7,3,0)</f>
        <v>1.5</v>
      </c>
      <c r="AB26" s="5" t="n">
        <f aca="false">INT(5+(($H26-1)/3))</f>
        <v>6</v>
      </c>
      <c r="AC26" s="5" t="n">
        <f aca="false">IF($AB26&lt;$I26,$I26-MAX($AB26,$B26),0)</f>
        <v>0</v>
      </c>
      <c r="AD26" s="5" t="n">
        <f aca="false">(5-ROUND(($H26-1)/3,0))</f>
        <v>3</v>
      </c>
      <c r="AE26" s="5" t="n">
        <f aca="false">IF($AD26&lt;$J26,$J26-MAX($AD26,$B26),0)</f>
        <v>0</v>
      </c>
      <c r="AG26" s="6" t="n">
        <f aca="false">VLOOKUP($F26,Category!$A$2:$AZ$20,24,0)</f>
        <v>0</v>
      </c>
      <c r="AH26" s="6" t="n">
        <f aca="false">VLOOKUP($F26,Category!$A$2:$AZ$20,26,0)</f>
        <v>0.333333333333333</v>
      </c>
      <c r="AI26" s="6" t="n">
        <f aca="false">VLOOKUP($E26,Role!$A$2:$O$9,6,0)</f>
        <v>1</v>
      </c>
      <c r="AJ26" s="6" t="n">
        <f aca="false">VLOOKUP($F26,Category!$A$2:$AZ$20,19,0)</f>
        <v>0.0909090909090909</v>
      </c>
      <c r="AK26" s="6" t="n">
        <f aca="false">VLOOKUP($F26,Category!$A$2:$AZ$20,21,0)</f>
        <v>0.545454545454545</v>
      </c>
      <c r="AL26" s="6" t="n">
        <f aca="false">VLOOKUP($E26,Role!$A$2:$O$9,7,0)</f>
        <v>1</v>
      </c>
      <c r="AM26" s="6" t="n">
        <f aca="false">VLOOKUP($F26,Category!$A$2:$AZ$20,19,0)</f>
        <v>0.0909090909090909</v>
      </c>
      <c r="AN26" s="6" t="n">
        <f aca="false">VLOOKUP($F26,Category!$A$2:$AZ$20,21,0)</f>
        <v>0.545454545454545</v>
      </c>
      <c r="AO26" s="6" t="n">
        <f aca="false">VLOOKUP($E26,Role!$A$2:$O$9,5,0)</f>
        <v>1</v>
      </c>
      <c r="AP26" s="6" t="n">
        <f aca="false">VLOOKUP($F26,Category!$A$2:$AZ$20,9,0)</f>
        <v>0</v>
      </c>
      <c r="AQ26" s="6" t="n">
        <f aca="false">VLOOKUP($F26,Category!$A$2:$AZ$20,11,0)</f>
        <v>0.555555555555556</v>
      </c>
      <c r="AR26" s="6" t="n">
        <f aca="false">VLOOKUP($F26,Category!$A$2:$AZ$20,10,0)</f>
        <v>0.555555555555556</v>
      </c>
      <c r="AS26" s="6" t="n">
        <f aca="false">VLOOKUP($E26,Role!$A$2:$O$9,4,0)</f>
        <v>1</v>
      </c>
      <c r="AT26" s="7" t="n">
        <f aca="false">VLOOKUP($F26,Category!$A$2:$AZ$20,14,0)</f>
        <v>0.416666666666667</v>
      </c>
      <c r="AU26" s="7" t="n">
        <f aca="false">VLOOKUP($F26,Category!$A$2:$AZ$20,16,0)</f>
        <v>0.25</v>
      </c>
      <c r="AV26" s="7" t="n">
        <f aca="false">VLOOKUP($D26,Size!$A$2:$Z$14,17,0)</f>
        <v>2</v>
      </c>
      <c r="AW26" s="7" t="n">
        <f aca="false">VLOOKUP($E26,Role!$A$2:$O$9,3,0)</f>
        <v>1</v>
      </c>
      <c r="AX26" s="7" t="n">
        <f aca="false">VLOOKUP($F26,Category!$A$2:$AZ$20,29,0)</f>
        <v>0.333333333333333</v>
      </c>
      <c r="AY26" s="7" t="n">
        <f aca="false">VLOOKUP($F26,Category!$A$2:$AZ$20,31,0)</f>
        <v>0.333333333333333</v>
      </c>
      <c r="AZ26" s="7" t="n">
        <f aca="false">VLOOKUP($D26,Size!$A$2:$Z$14,16,0)</f>
        <v>5</v>
      </c>
      <c r="BA26" s="7" t="n">
        <f aca="false">VLOOKUP($E26,Role!$A$2:$O$9,2,0)</f>
        <v>1</v>
      </c>
      <c r="BC26" s="7" t="n">
        <f aca="false">VLOOKUP($D26,Size!$A$2:$Z$14,19,0)</f>
        <v>20</v>
      </c>
      <c r="BD26" s="7" t="n">
        <f aca="false">VLOOKUP($D26,Size!$A$2:$Z$14,20,0)</f>
        <v>5</v>
      </c>
      <c r="BE26" s="7" t="n">
        <f aca="false">VLOOKUP($E26,Role!$A$2:$O$9,12,0)</f>
        <v>1.5</v>
      </c>
      <c r="BF26" s="7" t="n">
        <f aca="false">VLOOKUP($C26,Type!$A$2:$B$4,2,0)</f>
        <v>0.5</v>
      </c>
      <c r="BG26" s="7" t="n">
        <f aca="false">VLOOKUP($D26,Size!$A$2:$Z$14,18,0)</f>
        <v>38.7177346253629</v>
      </c>
      <c r="BH26" s="7" t="n">
        <f aca="false">INT($BF26*$BG26*$BE26*$B26/2)</f>
        <v>29</v>
      </c>
      <c r="BI26" s="7" t="n">
        <f aca="false">INT(($BC26*$BF26)+($I26*$BD26))</f>
        <v>30</v>
      </c>
      <c r="BJ26" s="7" t="n">
        <f aca="false">INT((($I26*$BE26)+$BC26)*$BF26)</f>
        <v>13</v>
      </c>
      <c r="BK26" s="14"/>
      <c r="BL26" s="7" t="n">
        <f aca="false">VLOOKUP($E26,Role!$A$2:$O$9,13,0)</f>
        <v>1.25</v>
      </c>
      <c r="BM26" s="7" t="n">
        <f aca="false">VLOOKUP($E26,Role!$A$2:$O$9,11,0)</f>
        <v>0.666</v>
      </c>
      <c r="BO26" s="7" t="n">
        <f aca="false">VLOOKUP($E26,Role!$A$2:$O$9,8,0)</f>
        <v>0.75</v>
      </c>
      <c r="BP26" s="7" t="n">
        <f aca="false">VLOOKUP($E26,Role!$A$2:$O$9,9,0)</f>
        <v>0.75</v>
      </c>
      <c r="BQ26" s="7" t="n">
        <f aca="false">VLOOKUP($E26,Role!$A$2:$O$9,10,0)</f>
        <v>0.6</v>
      </c>
    </row>
    <row r="27" customFormat="false" ht="12.8" hidden="false" customHeight="false" outlineLevel="0" collapsed="false">
      <c r="B27" s="2" t="n">
        <v>2</v>
      </c>
      <c r="C27" s="3" t="s">
        <v>77</v>
      </c>
      <c r="D27" s="1" t="s">
        <v>89</v>
      </c>
      <c r="E27" s="1" t="s">
        <v>73</v>
      </c>
      <c r="F27" s="1" t="s">
        <v>79</v>
      </c>
      <c r="G27" s="1" t="s">
        <v>80</v>
      </c>
      <c r="H27" s="4" t="n">
        <f aca="false">VLOOKUP($D27,Size!$A$2:$Z$14,6,0)</f>
        <v>7</v>
      </c>
      <c r="I27" s="13" t="n">
        <f aca="false">INT(($B27*$AZ27*$AX27*$BA27)+($B27*$AY27))</f>
        <v>4</v>
      </c>
      <c r="J27" s="4" t="n">
        <f aca="false">ROUND((($B27*$AT27)+($AV27*$AU27))*$AW27,0)</f>
        <v>1</v>
      </c>
      <c r="K27" s="4" t="n">
        <f aca="false">ROUND((($B27*$AP27)+($B27*$AQ27))*$AS27,0)</f>
        <v>1</v>
      </c>
      <c r="L27" s="4" t="n">
        <f aca="false">ROUND((($B27*$AM27)+($B27*$AN27))*$AO27,0)</f>
        <v>1</v>
      </c>
      <c r="M27" s="4" t="n">
        <f aca="false">ROUND((($B27*$AG27)+($B27*$AH27))*$AI27,0)</f>
        <v>1</v>
      </c>
      <c r="N27" s="4" t="n">
        <f aca="false">ROUND((($B27*$AJ27)+($B27*$AK27))*$AL27,0)</f>
        <v>1</v>
      </c>
      <c r="O27" s="4" t="n">
        <f aca="false">INT($BO27*$B27)</f>
        <v>1</v>
      </c>
      <c r="P27" s="4" t="n">
        <f aca="false">INT($BP27*$B27)</f>
        <v>1</v>
      </c>
      <c r="Q27" s="4" t="n">
        <f aca="false">INT($BQ27*$B27*$AR27)</f>
        <v>0</v>
      </c>
      <c r="R27" s="4" t="n">
        <f aca="false">IF($R$1="WT/G",INT(POWER($BH27*$BJ27*$BI27,0.333333)),0)+IF($R$1="WT/A",INT(($BH27+$BJ27+$BI27)/3),0)+IF($R$1="WT/A2",INT(($BJ27+$BI27)/2),0)+IF($R$1="WT/W",INT(($BH27+$BJ27+$BJ27+$BI27)/4),0)+IF($R$1="WT/W2",INT(($BH27+$BJ27+$BI27+$BI27)/4),0)+IF($R$1="WT/N",INT(MIN($BH27,$BJ27,$BI27)),0)+IF($R$1="WT/M",INT(MAX($BH27,$BJ27,$BI27)),0)+IF($R$1="WT/1",INT($BH27),0)+IF($R$1="WT/2",INT($BI27),0)+IF($R$1="WT/3",INT($BJ27),0)</f>
        <v>29</v>
      </c>
      <c r="S27" s="4" t="n">
        <f aca="false">INT((10+$M27)*$BL27)</f>
        <v>13</v>
      </c>
      <c r="T27" s="4" t="n">
        <f aca="false">INT($I27*$BM27*$BF27)</f>
        <v>1</v>
      </c>
      <c r="U27" s="2" t="n">
        <f aca="false">ROUND(MAX($J27,$L27)+(MIN($J27,$L27)*$X27),0)</f>
        <v>2</v>
      </c>
      <c r="V27" s="2" t="n">
        <f aca="false">MAX(1,INT(((MIN($I27:$J27)+(MAX($I27:$J27)*$H27*$Y27)))*$Z27))</f>
        <v>43</v>
      </c>
      <c r="X27" s="5" t="n">
        <f aca="false">VLOOKUP($E27,Role!$A$2:$O$9,14,0)</f>
        <v>0.75</v>
      </c>
      <c r="Y27" s="5" t="n">
        <f aca="false">VLOOKUP($E27,Role!$A$2:$O$9,15,0)</f>
        <v>1</v>
      </c>
      <c r="Z27" s="5" t="n">
        <f aca="false">VLOOKUP($G27,Movement!$A$2:$C$7,3,0)</f>
        <v>1.5</v>
      </c>
      <c r="AB27" s="5" t="n">
        <f aca="false">INT(5+(($H27-1)/3))</f>
        <v>7</v>
      </c>
      <c r="AC27" s="5" t="n">
        <f aca="false">IF($AB27&lt;$I27,$I27-MAX($AB27,$B27),0)</f>
        <v>0</v>
      </c>
      <c r="AD27" s="5" t="n">
        <f aca="false">(5-ROUND(($H27-1)/3,0))</f>
        <v>3</v>
      </c>
      <c r="AE27" s="5" t="n">
        <f aca="false">IF($AD27&lt;$J27,$J27-MAX($AD27,$B27),0)</f>
        <v>0</v>
      </c>
      <c r="AG27" s="6" t="n">
        <f aca="false">VLOOKUP($F27,Category!$A$2:$AZ$20,24,0)</f>
        <v>0</v>
      </c>
      <c r="AH27" s="6" t="n">
        <f aca="false">VLOOKUP($F27,Category!$A$2:$AZ$20,26,0)</f>
        <v>0.333333333333333</v>
      </c>
      <c r="AI27" s="6" t="n">
        <f aca="false">VLOOKUP($E27,Role!$A$2:$O$9,6,0)</f>
        <v>1</v>
      </c>
      <c r="AJ27" s="6" t="n">
        <f aca="false">VLOOKUP($F27,Category!$A$2:$AZ$20,19,0)</f>
        <v>0.0909090909090909</v>
      </c>
      <c r="AK27" s="6" t="n">
        <f aca="false">VLOOKUP($F27,Category!$A$2:$AZ$20,21,0)</f>
        <v>0.545454545454545</v>
      </c>
      <c r="AL27" s="6" t="n">
        <f aca="false">VLOOKUP($E27,Role!$A$2:$O$9,7,0)</f>
        <v>1</v>
      </c>
      <c r="AM27" s="6" t="n">
        <f aca="false">VLOOKUP($F27,Category!$A$2:$AZ$20,19,0)</f>
        <v>0.0909090909090909</v>
      </c>
      <c r="AN27" s="6" t="n">
        <f aca="false">VLOOKUP($F27,Category!$A$2:$AZ$20,21,0)</f>
        <v>0.545454545454545</v>
      </c>
      <c r="AO27" s="6" t="n">
        <f aca="false">VLOOKUP($E27,Role!$A$2:$O$9,5,0)</f>
        <v>1</v>
      </c>
      <c r="AP27" s="6" t="n">
        <f aca="false">VLOOKUP($F27,Category!$A$2:$AZ$20,9,0)</f>
        <v>0</v>
      </c>
      <c r="AQ27" s="6" t="n">
        <f aca="false">VLOOKUP($F27,Category!$A$2:$AZ$20,11,0)</f>
        <v>0.555555555555556</v>
      </c>
      <c r="AR27" s="6" t="n">
        <f aca="false">VLOOKUP($F27,Category!$A$2:$AZ$20,10,0)</f>
        <v>0.555555555555556</v>
      </c>
      <c r="AS27" s="6" t="n">
        <f aca="false">VLOOKUP($E27,Role!$A$2:$O$9,4,0)</f>
        <v>1</v>
      </c>
      <c r="AT27" s="7" t="n">
        <f aca="false">VLOOKUP($F27,Category!$A$2:$AZ$20,14,0)</f>
        <v>0.416666666666667</v>
      </c>
      <c r="AU27" s="7" t="n">
        <f aca="false">VLOOKUP($F27,Category!$A$2:$AZ$20,16,0)</f>
        <v>0.25</v>
      </c>
      <c r="AV27" s="7" t="n">
        <f aca="false">VLOOKUP($D27,Size!$A$2:$Z$14,17,0)</f>
        <v>2</v>
      </c>
      <c r="AW27" s="7" t="n">
        <f aca="false">VLOOKUP($E27,Role!$A$2:$O$9,3,0)</f>
        <v>1</v>
      </c>
      <c r="AX27" s="7" t="n">
        <f aca="false">VLOOKUP($F27,Category!$A$2:$AZ$20,29,0)</f>
        <v>0.333333333333333</v>
      </c>
      <c r="AY27" s="7" t="n">
        <f aca="false">VLOOKUP($F27,Category!$A$2:$AZ$20,31,0)</f>
        <v>0.333333333333333</v>
      </c>
      <c r="AZ27" s="7" t="n">
        <f aca="false">VLOOKUP($D27,Size!$A$2:$Z$14,16,0)</f>
        <v>5</v>
      </c>
      <c r="BA27" s="7" t="n">
        <f aca="false">VLOOKUP($E27,Role!$A$2:$O$9,2,0)</f>
        <v>1</v>
      </c>
      <c r="BC27" s="7" t="n">
        <f aca="false">VLOOKUP($D27,Size!$A$2:$Z$14,19,0)</f>
        <v>22</v>
      </c>
      <c r="BD27" s="7" t="n">
        <f aca="false">VLOOKUP($D27,Size!$A$2:$Z$14,20,0)</f>
        <v>6</v>
      </c>
      <c r="BE27" s="7" t="n">
        <f aca="false">VLOOKUP($E27,Role!$A$2:$O$9,12,0)</f>
        <v>1.5</v>
      </c>
      <c r="BF27" s="7" t="n">
        <f aca="false">VLOOKUP($C27,Type!$A$2:$B$4,2,0)</f>
        <v>0.5</v>
      </c>
      <c r="BG27" s="7" t="n">
        <f aca="false">VLOOKUP($D27,Size!$A$2:$Z$14,18,0)</f>
        <v>46.4833054890161</v>
      </c>
      <c r="BH27" s="7" t="n">
        <f aca="false">INT($BF27*$BG27*$BE27*$B27/2)</f>
        <v>34</v>
      </c>
      <c r="BI27" s="7" t="n">
        <f aca="false">INT(($BC27*$BF27)+($I27*$BD27))</f>
        <v>35</v>
      </c>
      <c r="BJ27" s="7" t="n">
        <f aca="false">INT((($I27*$BE27)+$BC27)*$BF27)</f>
        <v>14</v>
      </c>
      <c r="BK27" s="14"/>
      <c r="BL27" s="7" t="n">
        <f aca="false">VLOOKUP($E27,Role!$A$2:$O$9,13,0)</f>
        <v>1.25</v>
      </c>
      <c r="BM27" s="7" t="n">
        <f aca="false">VLOOKUP($E27,Role!$A$2:$O$9,11,0)</f>
        <v>0.666</v>
      </c>
      <c r="BO27" s="7" t="n">
        <f aca="false">VLOOKUP($E27,Role!$A$2:$O$9,8,0)</f>
        <v>0.75</v>
      </c>
      <c r="BP27" s="7" t="n">
        <f aca="false">VLOOKUP($E27,Role!$A$2:$O$9,9,0)</f>
        <v>0.75</v>
      </c>
      <c r="BQ27" s="7" t="n">
        <f aca="false">VLOOKUP($E27,Role!$A$2:$O$9,10,0)</f>
        <v>0.6</v>
      </c>
    </row>
    <row r="28" customFormat="false" ht="12.8" hidden="false" customHeight="false" outlineLevel="0" collapsed="false">
      <c r="B28" s="2" t="n">
        <v>2</v>
      </c>
      <c r="C28" s="3" t="s">
        <v>77</v>
      </c>
      <c r="D28" s="1" t="s">
        <v>90</v>
      </c>
      <c r="E28" s="1" t="s">
        <v>73</v>
      </c>
      <c r="F28" s="1" t="s">
        <v>79</v>
      </c>
      <c r="G28" s="1" t="s">
        <v>80</v>
      </c>
      <c r="H28" s="4" t="n">
        <f aca="false">VLOOKUP($D28,Size!$A$2:$Z$14,6,0)</f>
        <v>8</v>
      </c>
      <c r="I28" s="13" t="n">
        <f aca="false">INT(($B28*$AZ28*$AX28*$BA28)+($B28*$AY28))</f>
        <v>4</v>
      </c>
      <c r="J28" s="4" t="n">
        <f aca="false">ROUND((($B28*$AT28)+($AV28*$AU28))*$AW28,0)</f>
        <v>1</v>
      </c>
      <c r="K28" s="4" t="n">
        <f aca="false">ROUND((($B28*$AP28)+($B28*$AQ28))*$AS28,0)</f>
        <v>1</v>
      </c>
      <c r="L28" s="4" t="n">
        <f aca="false">ROUND((($B28*$AM28)+($B28*$AN28))*$AO28,0)</f>
        <v>1</v>
      </c>
      <c r="M28" s="4" t="n">
        <f aca="false">ROUND((($B28*$AG28)+($B28*$AH28))*$AI28,0)</f>
        <v>1</v>
      </c>
      <c r="N28" s="4" t="n">
        <f aca="false">ROUND((($B28*$AJ28)+($B28*$AK28))*$AL28,0)</f>
        <v>1</v>
      </c>
      <c r="O28" s="4" t="n">
        <f aca="false">INT($BO28*$B28)</f>
        <v>1</v>
      </c>
      <c r="P28" s="4" t="n">
        <f aca="false">INT($BP28*$B28)</f>
        <v>1</v>
      </c>
      <c r="Q28" s="4" t="n">
        <f aca="false">INT($BQ28*$B28*$AR28)</f>
        <v>0</v>
      </c>
      <c r="R28" s="4" t="n">
        <f aca="false">IF($R$1="WT/G",INT(POWER($BH28*$BJ28*$BI28,0.333333)),0)+IF($R$1="WT/A",INT(($BH28+$BJ28+$BI28)/3),0)+IF($R$1="WT/A2",INT(($BJ28+$BI28)/2),0)+IF($R$1="WT/W",INT(($BH28+$BJ28+$BJ28+$BI28)/4),0)+IF($R$1="WT/W2",INT(($BH28+$BJ28+$BI28+$BI28)/4),0)+IF($R$1="WT/N",INT(MIN($BH28,$BJ28,$BI28)),0)+IF($R$1="WT/M",INT(MAX($BH28,$BJ28,$BI28)),0)+IF($R$1="WT/1",INT($BH28),0)+IF($R$1="WT/2",INT($BI28),0)+IF($R$1="WT/3",INT($BJ28),0)</f>
        <v>34</v>
      </c>
      <c r="S28" s="4" t="n">
        <f aca="false">INT((10+$M28)*$BL28)</f>
        <v>13</v>
      </c>
      <c r="T28" s="4" t="n">
        <f aca="false">INT($I28*$BM28*$BF28)</f>
        <v>1</v>
      </c>
      <c r="U28" s="2" t="n">
        <f aca="false">ROUND(MAX($J28,$L28)+(MIN($J28,$L28)*$X28),0)</f>
        <v>2</v>
      </c>
      <c r="V28" s="2" t="n">
        <f aca="false">MAX(1,INT(((MIN($I28:$J28)+(MAX($I28:$J28)*$H28*$Y28)))*$Z28))</f>
        <v>49</v>
      </c>
      <c r="X28" s="5" t="n">
        <f aca="false">VLOOKUP($E28,Role!$A$2:$O$9,14,0)</f>
        <v>0.75</v>
      </c>
      <c r="Y28" s="5" t="n">
        <f aca="false">VLOOKUP($E28,Role!$A$2:$O$9,15,0)</f>
        <v>1</v>
      </c>
      <c r="Z28" s="5" t="n">
        <f aca="false">VLOOKUP($G28,Movement!$A$2:$C$7,3,0)</f>
        <v>1.5</v>
      </c>
      <c r="AB28" s="5" t="n">
        <f aca="false">INT(5+(($H28-1)/3))</f>
        <v>7</v>
      </c>
      <c r="AC28" s="5" t="n">
        <f aca="false">IF($AB28&lt;$I28,$I28-MAX($AB28,$B28),0)</f>
        <v>0</v>
      </c>
      <c r="AD28" s="5" t="n">
        <f aca="false">(5-ROUND(($H28-1)/3,0))</f>
        <v>3</v>
      </c>
      <c r="AE28" s="5" t="n">
        <f aca="false">IF($AD28&lt;$J28,$J28-MAX($AD28,$B28),0)</f>
        <v>0</v>
      </c>
      <c r="AG28" s="6" t="n">
        <f aca="false">VLOOKUP($F28,Category!$A$2:$AZ$20,24,0)</f>
        <v>0</v>
      </c>
      <c r="AH28" s="6" t="n">
        <f aca="false">VLOOKUP($F28,Category!$A$2:$AZ$20,26,0)</f>
        <v>0.333333333333333</v>
      </c>
      <c r="AI28" s="6" t="n">
        <f aca="false">VLOOKUP($E28,Role!$A$2:$O$9,6,0)</f>
        <v>1</v>
      </c>
      <c r="AJ28" s="6" t="n">
        <f aca="false">VLOOKUP($F28,Category!$A$2:$AZ$20,19,0)</f>
        <v>0.0909090909090909</v>
      </c>
      <c r="AK28" s="6" t="n">
        <f aca="false">VLOOKUP($F28,Category!$A$2:$AZ$20,21,0)</f>
        <v>0.545454545454545</v>
      </c>
      <c r="AL28" s="6" t="n">
        <f aca="false">VLOOKUP($E28,Role!$A$2:$O$9,7,0)</f>
        <v>1</v>
      </c>
      <c r="AM28" s="6" t="n">
        <f aca="false">VLOOKUP($F28,Category!$A$2:$AZ$20,19,0)</f>
        <v>0.0909090909090909</v>
      </c>
      <c r="AN28" s="6" t="n">
        <f aca="false">VLOOKUP($F28,Category!$A$2:$AZ$20,21,0)</f>
        <v>0.545454545454545</v>
      </c>
      <c r="AO28" s="6" t="n">
        <f aca="false">VLOOKUP($E28,Role!$A$2:$O$9,5,0)</f>
        <v>1</v>
      </c>
      <c r="AP28" s="6" t="n">
        <f aca="false">VLOOKUP($F28,Category!$A$2:$AZ$20,9,0)</f>
        <v>0</v>
      </c>
      <c r="AQ28" s="6" t="n">
        <f aca="false">VLOOKUP($F28,Category!$A$2:$AZ$20,11,0)</f>
        <v>0.555555555555556</v>
      </c>
      <c r="AR28" s="6" t="n">
        <f aca="false">VLOOKUP($F28,Category!$A$2:$AZ$20,10,0)</f>
        <v>0.555555555555556</v>
      </c>
      <c r="AS28" s="6" t="n">
        <f aca="false">VLOOKUP($E28,Role!$A$2:$O$9,4,0)</f>
        <v>1</v>
      </c>
      <c r="AT28" s="7" t="n">
        <f aca="false">VLOOKUP($F28,Category!$A$2:$AZ$20,14,0)</f>
        <v>0.416666666666667</v>
      </c>
      <c r="AU28" s="7" t="n">
        <f aca="false">VLOOKUP($F28,Category!$A$2:$AZ$20,16,0)</f>
        <v>0.25</v>
      </c>
      <c r="AV28" s="7" t="n">
        <f aca="false">VLOOKUP($D28,Size!$A$2:$Z$14,17,0)</f>
        <v>1</v>
      </c>
      <c r="AW28" s="7" t="n">
        <f aca="false">VLOOKUP($E28,Role!$A$2:$O$9,3,0)</f>
        <v>1</v>
      </c>
      <c r="AX28" s="7" t="n">
        <f aca="false">VLOOKUP($F28,Category!$A$2:$AZ$20,29,0)</f>
        <v>0.333333333333333</v>
      </c>
      <c r="AY28" s="7" t="n">
        <f aca="false">VLOOKUP($F28,Category!$A$2:$AZ$20,31,0)</f>
        <v>0.333333333333333</v>
      </c>
      <c r="AZ28" s="7" t="n">
        <f aca="false">VLOOKUP($D28,Size!$A$2:$Z$14,16,0)</f>
        <v>6</v>
      </c>
      <c r="BA28" s="7" t="n">
        <f aca="false">VLOOKUP($E28,Role!$A$2:$O$9,2,0)</f>
        <v>1</v>
      </c>
      <c r="BC28" s="7" t="n">
        <f aca="false">VLOOKUP($D28,Size!$A$2:$Z$14,19,0)</f>
        <v>24</v>
      </c>
      <c r="BD28" s="7" t="n">
        <f aca="false">VLOOKUP($D28,Size!$A$2:$Z$14,20,0)</f>
        <v>7</v>
      </c>
      <c r="BE28" s="7" t="n">
        <f aca="false">VLOOKUP($E28,Role!$A$2:$O$9,12,0)</f>
        <v>1.5</v>
      </c>
      <c r="BF28" s="7" t="n">
        <f aca="false">VLOOKUP($C28,Type!$A$2:$B$4,2,0)</f>
        <v>0.5</v>
      </c>
      <c r="BG28" s="7" t="n">
        <f aca="false">VLOOKUP($D28,Size!$A$2:$Z$14,18,0)</f>
        <v>55.5397251732031</v>
      </c>
      <c r="BH28" s="7" t="n">
        <f aca="false">INT($BF28*$BG28*$BE28*$B28/2)</f>
        <v>41</v>
      </c>
      <c r="BI28" s="7" t="n">
        <f aca="false">INT(($BC28*$BF28)+($I28*$BD28))</f>
        <v>40</v>
      </c>
      <c r="BJ28" s="7" t="n">
        <f aca="false">INT((($I28*$BE28)+$BC28)*$BF28)</f>
        <v>15</v>
      </c>
      <c r="BK28" s="14"/>
      <c r="BL28" s="7" t="n">
        <f aca="false">VLOOKUP($E28,Role!$A$2:$O$9,13,0)</f>
        <v>1.25</v>
      </c>
      <c r="BM28" s="7" t="n">
        <f aca="false">VLOOKUP($E28,Role!$A$2:$O$9,11,0)</f>
        <v>0.666</v>
      </c>
      <c r="BO28" s="7" t="n">
        <f aca="false">VLOOKUP($E28,Role!$A$2:$O$9,8,0)</f>
        <v>0.75</v>
      </c>
      <c r="BP28" s="7" t="n">
        <f aca="false">VLOOKUP($E28,Role!$A$2:$O$9,9,0)</f>
        <v>0.75</v>
      </c>
      <c r="BQ28" s="7" t="n">
        <f aca="false">VLOOKUP($E28,Role!$A$2:$O$9,10,0)</f>
        <v>0.6</v>
      </c>
    </row>
    <row r="29" customFormat="false" ht="12.8" hidden="false" customHeight="false" outlineLevel="0" collapsed="false">
      <c r="B29" s="2" t="n">
        <v>2</v>
      </c>
      <c r="C29" s="3" t="s">
        <v>77</v>
      </c>
      <c r="D29" s="1" t="s">
        <v>91</v>
      </c>
      <c r="E29" s="1" t="s">
        <v>73</v>
      </c>
      <c r="F29" s="1" t="s">
        <v>79</v>
      </c>
      <c r="G29" s="1" t="s">
        <v>80</v>
      </c>
      <c r="H29" s="4" t="n">
        <f aca="false">VLOOKUP($D29,Size!$A$2:$Z$14,6,0)</f>
        <v>9</v>
      </c>
      <c r="I29" s="13" t="n">
        <f aca="false">INT(($B29*$AZ29*$AX29*$BA29)+($B29*$AY29))</f>
        <v>4</v>
      </c>
      <c r="J29" s="4" t="n">
        <f aca="false">ROUND((($B29*$AT29)+($AV29*$AU29))*$AW29,0)</f>
        <v>1</v>
      </c>
      <c r="K29" s="4" t="n">
        <f aca="false">ROUND((($B29*$AP29)+($B29*$AQ29))*$AS29,0)</f>
        <v>1</v>
      </c>
      <c r="L29" s="4" t="n">
        <f aca="false">ROUND((($B29*$AM29)+($B29*$AN29))*$AO29,0)</f>
        <v>1</v>
      </c>
      <c r="M29" s="4" t="n">
        <f aca="false">ROUND((($B29*$AG29)+($B29*$AH29))*$AI29,0)</f>
        <v>1</v>
      </c>
      <c r="N29" s="4" t="n">
        <f aca="false">ROUND((($B29*$AJ29)+($B29*$AK29))*$AL29,0)</f>
        <v>1</v>
      </c>
      <c r="O29" s="4" t="n">
        <f aca="false">INT($BO29*$B29)</f>
        <v>1</v>
      </c>
      <c r="P29" s="4" t="n">
        <f aca="false">INT($BP29*$B29)</f>
        <v>1</v>
      </c>
      <c r="Q29" s="4" t="n">
        <f aca="false">INT($BQ29*$B29*$AR29)</f>
        <v>0</v>
      </c>
      <c r="R29" s="4" t="n">
        <f aca="false">IF($R$1="WT/G",INT(POWER($BH29*$BJ29*$BI29,0.333333)),0)+IF($R$1="WT/A",INT(($BH29+$BJ29+$BI29)/3),0)+IF($R$1="WT/A2",INT(($BJ29+$BI29)/2),0)+IF($R$1="WT/W",INT(($BH29+$BJ29+$BJ29+$BI29)/4),0)+IF($R$1="WT/W2",INT(($BH29+$BJ29+$BI29+$BI29)/4),0)+IF($R$1="WT/N",INT(MIN($BH29,$BJ29,$BI29)),0)+IF($R$1="WT/M",INT(MAX($BH29,$BJ29,$BI29)),0)+IF($R$1="WT/1",INT($BH29),0)+IF($R$1="WT/2",INT($BI29),0)+IF($R$1="WT/3",INT($BJ29),0)</f>
        <v>38</v>
      </c>
      <c r="S29" s="4" t="n">
        <f aca="false">INT((10+$M29)*$BL29)</f>
        <v>13</v>
      </c>
      <c r="T29" s="4" t="n">
        <f aca="false">INT($I29*$BM29*$BF29)</f>
        <v>1</v>
      </c>
      <c r="U29" s="2" t="n">
        <f aca="false">ROUND(MAX($J29,$L29)+(MIN($J29,$L29)*$X29),0)</f>
        <v>2</v>
      </c>
      <c r="V29" s="2" t="n">
        <f aca="false">MAX(1,INT(((MIN($I29:$J29)+(MAX($I29:$J29)*$H29*$Y29)))*$Z29))</f>
        <v>55</v>
      </c>
      <c r="X29" s="5" t="n">
        <f aca="false">VLOOKUP($E29,Role!$A$2:$O$9,14,0)</f>
        <v>0.75</v>
      </c>
      <c r="Y29" s="5" t="n">
        <f aca="false">VLOOKUP($E29,Role!$A$2:$O$9,15,0)</f>
        <v>1</v>
      </c>
      <c r="Z29" s="5" t="n">
        <f aca="false">VLOOKUP($G29,Movement!$A$2:$C$7,3,0)</f>
        <v>1.5</v>
      </c>
      <c r="AB29" s="5" t="n">
        <f aca="false">INT(5+(($H29-1)/3))</f>
        <v>7</v>
      </c>
      <c r="AC29" s="5" t="n">
        <f aca="false">IF($AB29&lt;$I29,$I29-MAX($AB29,$B29),0)</f>
        <v>0</v>
      </c>
      <c r="AD29" s="5" t="n">
        <f aca="false">(5-ROUND(($H29-1)/3,0))</f>
        <v>2</v>
      </c>
      <c r="AE29" s="5" t="n">
        <f aca="false">IF($AD29&lt;$J29,$J29-MAX($AD29,$B29),0)</f>
        <v>0</v>
      </c>
      <c r="AG29" s="6" t="n">
        <f aca="false">VLOOKUP($F29,Category!$A$2:$AZ$20,24,0)</f>
        <v>0</v>
      </c>
      <c r="AH29" s="6" t="n">
        <f aca="false">VLOOKUP($F29,Category!$A$2:$AZ$20,26,0)</f>
        <v>0.333333333333333</v>
      </c>
      <c r="AI29" s="6" t="n">
        <f aca="false">VLOOKUP($E29,Role!$A$2:$O$9,6,0)</f>
        <v>1</v>
      </c>
      <c r="AJ29" s="6" t="n">
        <f aca="false">VLOOKUP($F29,Category!$A$2:$AZ$20,19,0)</f>
        <v>0.0909090909090909</v>
      </c>
      <c r="AK29" s="6" t="n">
        <f aca="false">VLOOKUP($F29,Category!$A$2:$AZ$20,21,0)</f>
        <v>0.545454545454545</v>
      </c>
      <c r="AL29" s="6" t="n">
        <f aca="false">VLOOKUP($E29,Role!$A$2:$O$9,7,0)</f>
        <v>1</v>
      </c>
      <c r="AM29" s="6" t="n">
        <f aca="false">VLOOKUP($F29,Category!$A$2:$AZ$20,19,0)</f>
        <v>0.0909090909090909</v>
      </c>
      <c r="AN29" s="6" t="n">
        <f aca="false">VLOOKUP($F29,Category!$A$2:$AZ$20,21,0)</f>
        <v>0.545454545454545</v>
      </c>
      <c r="AO29" s="6" t="n">
        <f aca="false">VLOOKUP($E29,Role!$A$2:$O$9,5,0)</f>
        <v>1</v>
      </c>
      <c r="AP29" s="6" t="n">
        <f aca="false">VLOOKUP($F29,Category!$A$2:$AZ$20,9,0)</f>
        <v>0</v>
      </c>
      <c r="AQ29" s="6" t="n">
        <f aca="false">VLOOKUP($F29,Category!$A$2:$AZ$20,11,0)</f>
        <v>0.555555555555556</v>
      </c>
      <c r="AR29" s="6" t="n">
        <f aca="false">VLOOKUP($F29,Category!$A$2:$AZ$20,10,0)</f>
        <v>0.555555555555556</v>
      </c>
      <c r="AS29" s="6" t="n">
        <f aca="false">VLOOKUP($E29,Role!$A$2:$O$9,4,0)</f>
        <v>1</v>
      </c>
      <c r="AT29" s="7" t="n">
        <f aca="false">VLOOKUP($F29,Category!$A$2:$AZ$20,14,0)</f>
        <v>0.416666666666667</v>
      </c>
      <c r="AU29" s="7" t="n">
        <f aca="false">VLOOKUP($F29,Category!$A$2:$AZ$20,16,0)</f>
        <v>0.25</v>
      </c>
      <c r="AV29" s="7" t="n">
        <f aca="false">VLOOKUP($D29,Size!$A$2:$Z$14,17,0)</f>
        <v>1</v>
      </c>
      <c r="AW29" s="7" t="n">
        <f aca="false">VLOOKUP($E29,Role!$A$2:$O$9,3,0)</f>
        <v>1</v>
      </c>
      <c r="AX29" s="7" t="n">
        <f aca="false">VLOOKUP($F29,Category!$A$2:$AZ$20,29,0)</f>
        <v>0.333333333333333</v>
      </c>
      <c r="AY29" s="7" t="n">
        <f aca="false">VLOOKUP($F29,Category!$A$2:$AZ$20,31,0)</f>
        <v>0.333333333333333</v>
      </c>
      <c r="AZ29" s="7" t="n">
        <f aca="false">VLOOKUP($D29,Size!$A$2:$Z$14,16,0)</f>
        <v>6</v>
      </c>
      <c r="BA29" s="7" t="n">
        <f aca="false">VLOOKUP($E29,Role!$A$2:$O$9,2,0)</f>
        <v>1</v>
      </c>
      <c r="BC29" s="7" t="n">
        <f aca="false">VLOOKUP($D29,Size!$A$2:$Z$14,19,0)</f>
        <v>26</v>
      </c>
      <c r="BD29" s="7" t="n">
        <f aca="false">VLOOKUP($D29,Size!$A$2:$Z$14,20,0)</f>
        <v>8</v>
      </c>
      <c r="BE29" s="7" t="n">
        <f aca="false">VLOOKUP($E29,Role!$A$2:$O$9,12,0)</f>
        <v>1.5</v>
      </c>
      <c r="BF29" s="7" t="n">
        <f aca="false">VLOOKUP($C29,Type!$A$2:$B$4,2,0)</f>
        <v>0.5</v>
      </c>
      <c r="BG29" s="7" t="n">
        <f aca="false">VLOOKUP($D29,Size!$A$2:$Z$14,18,0)</f>
        <v>63.9349062472505</v>
      </c>
      <c r="BH29" s="7" t="n">
        <f aca="false">INT($BF29*$BG29*$BE29*$B29/2)</f>
        <v>47</v>
      </c>
      <c r="BI29" s="7" t="n">
        <f aca="false">INT(($BC29*$BF29)+($I29*$BD29))</f>
        <v>45</v>
      </c>
      <c r="BJ29" s="7" t="n">
        <f aca="false">INT((($I29*$BE29)+$BC29)*$BF29)</f>
        <v>16</v>
      </c>
      <c r="BK29" s="14"/>
      <c r="BL29" s="7" t="n">
        <f aca="false">VLOOKUP($E29,Role!$A$2:$O$9,13,0)</f>
        <v>1.25</v>
      </c>
      <c r="BM29" s="7" t="n">
        <f aca="false">VLOOKUP($E29,Role!$A$2:$O$9,11,0)</f>
        <v>0.666</v>
      </c>
      <c r="BO29" s="7" t="n">
        <f aca="false">VLOOKUP($E29,Role!$A$2:$O$9,8,0)</f>
        <v>0.75</v>
      </c>
      <c r="BP29" s="7" t="n">
        <f aca="false">VLOOKUP($E29,Role!$A$2:$O$9,9,0)</f>
        <v>0.75</v>
      </c>
      <c r="BQ29" s="7" t="n">
        <f aca="false">VLOOKUP($E29,Role!$A$2:$O$9,10,0)</f>
        <v>0.6</v>
      </c>
    </row>
    <row r="30" customFormat="false" ht="12.8" hidden="false" customHeight="false" outlineLevel="0" collapsed="false">
      <c r="B30" s="2" t="n">
        <v>2</v>
      </c>
      <c r="C30" s="3" t="s">
        <v>63</v>
      </c>
      <c r="D30" s="1" t="s">
        <v>64</v>
      </c>
      <c r="E30" s="1" t="s">
        <v>70</v>
      </c>
      <c r="F30" s="1" t="s">
        <v>79</v>
      </c>
      <c r="G30" s="1" t="s">
        <v>67</v>
      </c>
      <c r="H30" s="4" t="n">
        <f aca="false">VLOOKUP($D30,Size!$A$2:$Z$14,6,0)</f>
        <v>1</v>
      </c>
      <c r="I30" s="13" t="n">
        <f aca="false">INT(($B30*$AZ30*$AX30*$BA30)+($B30*$AY30))</f>
        <v>1</v>
      </c>
      <c r="J30" s="4" t="n">
        <f aca="false">ROUND((($B30*$AT30)+($AV30*$AU30))*$AW30,0)</f>
        <v>1</v>
      </c>
      <c r="K30" s="4" t="n">
        <f aca="false">ROUND((($B30*$AP30)+($B30*$AQ30))*$AS30,0)</f>
        <v>1</v>
      </c>
      <c r="L30" s="4" t="n">
        <f aca="false">ROUND((($B30*$AM30)+($B30*$AN30))*$AO30,0)</f>
        <v>1</v>
      </c>
      <c r="M30" s="4" t="n">
        <f aca="false">ROUND((($B30*$AG30)+($B30*$AH30))*$AI30,0)</f>
        <v>0</v>
      </c>
      <c r="N30" s="4" t="n">
        <f aca="false">ROUND((($B30*$AJ30)+($B30*$AK30))*$AL30,0)</f>
        <v>1</v>
      </c>
      <c r="O30" s="4" t="n">
        <f aca="false">INT($BO30*$B30)</f>
        <v>1</v>
      </c>
      <c r="P30" s="4" t="n">
        <f aca="false">INT($BP30*$B30)</f>
        <v>1</v>
      </c>
      <c r="Q30" s="4" t="n">
        <f aca="false">INT($BQ30*$B30*$AR30)</f>
        <v>0</v>
      </c>
      <c r="R30" s="4" t="n">
        <f aca="false">IF($R$1="WT/G",INT(POWER($BH30*$BJ30*$BI30,0.333333)),0)+IF($R$1="WT/A",INT(($BH30+$BJ30+$BI30)/3),0)+IF($R$1="WT/A2",INT(($BJ30+$BI30)/2),0)+IF($R$1="WT/W",INT(($BH30+$BJ30+$BJ30+$BI30)/4),0)+IF($R$1="WT/W2",INT(($BH30+$BJ30+$BI30+$BI30)/4),0)+IF($R$1="WT/N",INT(MIN($BH30,$BJ30,$BI30)),0)+IF($R$1="WT/M",INT(MAX($BH30,$BJ30,$BI30)),0)+IF($R$1="WT/1",INT($BH30),0)+IF($R$1="WT/2",INT($BI30),0)+IF($R$1="WT/3",INT($BJ30),0)</f>
        <v>12</v>
      </c>
      <c r="S30" s="4" t="n">
        <f aca="false">INT((10+$M30)*$BL30)</f>
        <v>12</v>
      </c>
      <c r="T30" s="4" t="n">
        <f aca="false">INT($I30*$BM30*$BF30)</f>
        <v>0</v>
      </c>
      <c r="U30" s="2" t="n">
        <f aca="false">ROUND(MAX($J30,$L30)+(MIN($J30,$L30)*$X30),0)</f>
        <v>2</v>
      </c>
      <c r="V30" s="2" t="n">
        <f aca="false">MAX(1,INT(((MIN($I30:$J30)+(MAX($I30:$J30)*$H30*$Y30)))*$Z30))</f>
        <v>2</v>
      </c>
      <c r="X30" s="5" t="n">
        <f aca="false">VLOOKUP($E30,Role!$A$2:$O$9,14,0)</f>
        <v>1</v>
      </c>
      <c r="Y30" s="5" t="n">
        <f aca="false">VLOOKUP($E30,Role!$A$2:$O$9,15,0)</f>
        <v>1</v>
      </c>
      <c r="Z30" s="5" t="n">
        <f aca="false">VLOOKUP($G30,Movement!$A$2:$C$7,3,0)</f>
        <v>1</v>
      </c>
      <c r="AB30" s="5" t="n">
        <f aca="false">INT(5+(($H30-1)/3))</f>
        <v>5</v>
      </c>
      <c r="AC30" s="5" t="n">
        <f aca="false">IF($AB30&lt;$I30,$I30-MAX($AB30,$B30),0)</f>
        <v>0</v>
      </c>
      <c r="AD30" s="5" t="n">
        <f aca="false">(5-ROUND(($H30-1)/3,0))</f>
        <v>5</v>
      </c>
      <c r="AE30" s="5" t="n">
        <f aca="false">IF($AD30&lt;$J30,$J30-MAX($AD30,$B30),0)</f>
        <v>0</v>
      </c>
      <c r="AG30" s="6" t="n">
        <f aca="false">VLOOKUP($F30,Category!$A$2:$AZ$20,24,0)</f>
        <v>0</v>
      </c>
      <c r="AH30" s="6" t="n">
        <f aca="false">VLOOKUP($F30,Category!$A$2:$AZ$20,26,0)</f>
        <v>0.333333333333333</v>
      </c>
      <c r="AI30" s="6" t="n">
        <f aca="false">VLOOKUP($E30,Role!$A$2:$O$9,6,0)</f>
        <v>0.666</v>
      </c>
      <c r="AJ30" s="6" t="n">
        <f aca="false">VLOOKUP($F30,Category!$A$2:$AZ$20,19,0)</f>
        <v>0.0909090909090909</v>
      </c>
      <c r="AK30" s="6" t="n">
        <f aca="false">VLOOKUP($F30,Category!$A$2:$AZ$20,21,0)</f>
        <v>0.545454545454545</v>
      </c>
      <c r="AL30" s="6" t="n">
        <f aca="false">VLOOKUP($E30,Role!$A$2:$O$9,7,0)</f>
        <v>0.666</v>
      </c>
      <c r="AM30" s="6" t="n">
        <f aca="false">VLOOKUP($F30,Category!$A$2:$AZ$20,19,0)</f>
        <v>0.0909090909090909</v>
      </c>
      <c r="AN30" s="6" t="n">
        <f aca="false">VLOOKUP($F30,Category!$A$2:$AZ$20,21,0)</f>
        <v>0.545454545454545</v>
      </c>
      <c r="AO30" s="6" t="n">
        <f aca="false">VLOOKUP($E30,Role!$A$2:$O$9,5,0)</f>
        <v>0.666</v>
      </c>
      <c r="AP30" s="6" t="n">
        <f aca="false">VLOOKUP($F30,Category!$A$2:$AZ$20,9,0)</f>
        <v>0</v>
      </c>
      <c r="AQ30" s="6" t="n">
        <f aca="false">VLOOKUP($F30,Category!$A$2:$AZ$20,11,0)</f>
        <v>0.555555555555556</v>
      </c>
      <c r="AR30" s="6" t="n">
        <f aca="false">VLOOKUP($F30,Category!$A$2:$AZ$20,10,0)</f>
        <v>0.555555555555556</v>
      </c>
      <c r="AS30" s="6" t="n">
        <f aca="false">VLOOKUP($E30,Role!$A$2:$O$9,4,0)</f>
        <v>0.666</v>
      </c>
      <c r="AT30" s="7" t="n">
        <f aca="false">VLOOKUP($F30,Category!$A$2:$AZ$20,14,0)</f>
        <v>0.416666666666667</v>
      </c>
      <c r="AU30" s="7" t="n">
        <f aca="false">VLOOKUP($F30,Category!$A$2:$AZ$20,16,0)</f>
        <v>0.25</v>
      </c>
      <c r="AV30" s="7" t="n">
        <f aca="false">VLOOKUP($D30,Size!$A$2:$Z$14,17,0)</f>
        <v>3</v>
      </c>
      <c r="AW30" s="7" t="n">
        <f aca="false">VLOOKUP($E30,Role!$A$2:$O$9,3,0)</f>
        <v>0.666</v>
      </c>
      <c r="AX30" s="7" t="n">
        <f aca="false">VLOOKUP($F30,Category!$A$2:$AZ$20,29,0)</f>
        <v>0.333333333333333</v>
      </c>
      <c r="AY30" s="7" t="n">
        <f aca="false">VLOOKUP($F30,Category!$A$2:$AZ$20,31,0)</f>
        <v>0.333333333333333</v>
      </c>
      <c r="AZ30" s="7" t="n">
        <f aca="false">VLOOKUP($D30,Size!$A$2:$Z$14,16,0)</f>
        <v>3</v>
      </c>
      <c r="BA30" s="7" t="n">
        <f aca="false">VLOOKUP($E30,Role!$A$2:$O$9,2,0)</f>
        <v>0.666</v>
      </c>
      <c r="BC30" s="7" t="n">
        <f aca="false">VLOOKUP($D30,Size!$A$2:$Z$14,19,0)</f>
        <v>10</v>
      </c>
      <c r="BD30" s="7" t="n">
        <f aca="false">VLOOKUP($D30,Size!$A$2:$Z$14,20,0)</f>
        <v>1</v>
      </c>
      <c r="BE30" s="7" t="n">
        <f aca="false">VLOOKUP($E30,Role!$A$2:$O$9,12,0)</f>
        <v>1.25</v>
      </c>
      <c r="BF30" s="7" t="n">
        <f aca="false">VLOOKUP($C30,Type!$A$2:$B$4,2,0)</f>
        <v>1</v>
      </c>
      <c r="BG30" s="7" t="n">
        <f aca="false">VLOOKUP($D30,Size!$A$2:$Z$14,18,0)</f>
        <v>13</v>
      </c>
      <c r="BH30" s="7" t="n">
        <f aca="false">INT($BF30*$BG30*$BE30*$B30/2)</f>
        <v>16</v>
      </c>
      <c r="BI30" s="7" t="n">
        <f aca="false">INT(($BC30*$BF30)+($I30*$BD30))</f>
        <v>11</v>
      </c>
      <c r="BJ30" s="7" t="n">
        <f aca="false">INT((($I30*$BE30)+$BC30)*$BF30)</f>
        <v>11</v>
      </c>
      <c r="BK30" s="14"/>
      <c r="BL30" s="7" t="n">
        <f aca="false">VLOOKUP($E30,Role!$A$2:$O$9,13,0)</f>
        <v>1.25</v>
      </c>
      <c r="BM30" s="7" t="n">
        <f aca="false">VLOOKUP($E30,Role!$A$2:$O$9,11,0)</f>
        <v>0.666</v>
      </c>
      <c r="BO30" s="7" t="n">
        <f aca="false">VLOOKUP($E30,Role!$A$2:$O$9,8,0)</f>
        <v>0.75</v>
      </c>
      <c r="BP30" s="7" t="n">
        <f aca="false">VLOOKUP($E30,Role!$A$2:$O$9,9,0)</f>
        <v>0.75</v>
      </c>
      <c r="BQ30" s="7" t="n">
        <f aca="false">VLOOKUP($E30,Role!$A$2:$O$9,10,0)</f>
        <v>0.5</v>
      </c>
    </row>
    <row r="31" customFormat="false" ht="12.8" hidden="false" customHeight="false" outlineLevel="0" collapsed="false">
      <c r="B31" s="2" t="n">
        <v>2</v>
      </c>
      <c r="C31" s="3" t="s">
        <v>63</v>
      </c>
      <c r="D31" s="1" t="s">
        <v>64</v>
      </c>
      <c r="E31" s="1" t="s">
        <v>70</v>
      </c>
      <c r="F31" s="1" t="s">
        <v>79</v>
      </c>
      <c r="G31" s="1" t="s">
        <v>67</v>
      </c>
      <c r="H31" s="4" t="n">
        <f aca="false">VLOOKUP($D31,Size!$A$2:$Z$14,6,0)</f>
        <v>1</v>
      </c>
      <c r="I31" s="13" t="n">
        <f aca="false">INT(($B31*$AZ31*$AX31*$BA31)+($B31*$AY31))</f>
        <v>1</v>
      </c>
      <c r="J31" s="4" t="n">
        <f aca="false">ROUND((($B31*$AT31)+($AV31*$AU31))*$AW31,0)</f>
        <v>1</v>
      </c>
      <c r="K31" s="4" t="n">
        <f aca="false">ROUND((($B31*$AP31)+($B31*$AQ31))*$AS31,0)</f>
        <v>1</v>
      </c>
      <c r="L31" s="4" t="n">
        <f aca="false">ROUND((($B31*$AM31)+($B31*$AN31))*$AO31,0)</f>
        <v>1</v>
      </c>
      <c r="M31" s="4" t="n">
        <f aca="false">ROUND((($B31*$AG31)+($B31*$AH31))*$AI31,0)</f>
        <v>0</v>
      </c>
      <c r="N31" s="4" t="n">
        <f aca="false">ROUND((($B31*$AJ31)+($B31*$AK31))*$AL31,0)</f>
        <v>1</v>
      </c>
      <c r="O31" s="4" t="n">
        <f aca="false">INT($BO31*$B31)</f>
        <v>1</v>
      </c>
      <c r="P31" s="4" t="n">
        <f aca="false">INT($BP31*$B31)</f>
        <v>1</v>
      </c>
      <c r="Q31" s="4" t="n">
        <f aca="false">INT($BQ31*$B31*$AR31)</f>
        <v>0</v>
      </c>
      <c r="R31" s="4" t="n">
        <f aca="false">IF($R$1="WT/G",INT(POWER($BH31*$BJ31*$BI31,0.333333)),0)+IF($R$1="WT/A",INT(($BH31+$BJ31+$BI31)/3),0)+IF($R$1="WT/A2",INT(($BJ31+$BI31)/2),0)+IF($R$1="WT/W",INT(($BH31+$BJ31+$BJ31+$BI31)/4),0)+IF($R$1="WT/W2",INT(($BH31+$BJ31+$BI31+$BI31)/4),0)+IF($R$1="WT/N",INT(MIN($BH31,$BJ31,$BI31)),0)+IF($R$1="WT/M",INT(MAX($BH31,$BJ31,$BI31)),0)+IF($R$1="WT/1",INT($BH31),0)+IF($R$1="WT/2",INT($BI31),0)+IF($R$1="WT/3",INT($BJ31),0)</f>
        <v>12</v>
      </c>
      <c r="S31" s="4" t="n">
        <f aca="false">INT((10+$M31)*$BL31)</f>
        <v>12</v>
      </c>
      <c r="T31" s="4" t="n">
        <f aca="false">INT($I31*$BM31*$BF31)</f>
        <v>0</v>
      </c>
      <c r="U31" s="2" t="n">
        <f aca="false">ROUND(MAX($J31,$L31)+(MIN($J31,$L31)*$X31),0)</f>
        <v>2</v>
      </c>
      <c r="V31" s="2" t="n">
        <f aca="false">MAX(1,INT(((MIN($I31:$J31)+(MAX($I31:$J31)*$H31*$Y31)))*$Z31))</f>
        <v>2</v>
      </c>
      <c r="X31" s="5" t="n">
        <f aca="false">VLOOKUP($E31,Role!$A$2:$O$9,14,0)</f>
        <v>1</v>
      </c>
      <c r="Y31" s="5" t="n">
        <f aca="false">VLOOKUP($E31,Role!$A$2:$O$9,15,0)</f>
        <v>1</v>
      </c>
      <c r="Z31" s="5" t="n">
        <f aca="false">VLOOKUP($G31,Movement!$A$2:$C$7,3,0)</f>
        <v>1</v>
      </c>
      <c r="AB31" s="5" t="n">
        <f aca="false">INT(5+(($H31-1)/3))</f>
        <v>5</v>
      </c>
      <c r="AC31" s="5" t="n">
        <f aca="false">IF($AB31&lt;$I31,$I31-MAX($AB31,$B31),0)</f>
        <v>0</v>
      </c>
      <c r="AD31" s="5" t="n">
        <f aca="false">(5-ROUND(($H31-1)/3,0))</f>
        <v>5</v>
      </c>
      <c r="AE31" s="5" t="n">
        <f aca="false">IF($AD31&lt;$J31,$J31-MAX($AD31,$B31),0)</f>
        <v>0</v>
      </c>
      <c r="AG31" s="6" t="n">
        <f aca="false">VLOOKUP($F31,Category!$A$2:$AZ$20,24,0)</f>
        <v>0</v>
      </c>
      <c r="AH31" s="6" t="n">
        <f aca="false">VLOOKUP($F31,Category!$A$2:$AZ$20,26,0)</f>
        <v>0.333333333333333</v>
      </c>
      <c r="AI31" s="6" t="n">
        <f aca="false">VLOOKUP($E31,Role!$A$2:$O$9,6,0)</f>
        <v>0.666</v>
      </c>
      <c r="AJ31" s="6" t="n">
        <f aca="false">VLOOKUP($F31,Category!$A$2:$AZ$20,19,0)</f>
        <v>0.0909090909090909</v>
      </c>
      <c r="AK31" s="6" t="n">
        <f aca="false">VLOOKUP($F31,Category!$A$2:$AZ$20,21,0)</f>
        <v>0.545454545454545</v>
      </c>
      <c r="AL31" s="6" t="n">
        <f aca="false">VLOOKUP($E31,Role!$A$2:$O$9,7,0)</f>
        <v>0.666</v>
      </c>
      <c r="AM31" s="6" t="n">
        <f aca="false">VLOOKUP($F31,Category!$A$2:$AZ$20,19,0)</f>
        <v>0.0909090909090909</v>
      </c>
      <c r="AN31" s="6" t="n">
        <f aca="false">VLOOKUP($F31,Category!$A$2:$AZ$20,21,0)</f>
        <v>0.545454545454545</v>
      </c>
      <c r="AO31" s="6" t="n">
        <f aca="false">VLOOKUP($E31,Role!$A$2:$O$9,5,0)</f>
        <v>0.666</v>
      </c>
      <c r="AP31" s="6" t="n">
        <f aca="false">VLOOKUP($F31,Category!$A$2:$AZ$20,9,0)</f>
        <v>0</v>
      </c>
      <c r="AQ31" s="6" t="n">
        <f aca="false">VLOOKUP($F31,Category!$A$2:$AZ$20,11,0)</f>
        <v>0.555555555555556</v>
      </c>
      <c r="AR31" s="6" t="n">
        <f aca="false">VLOOKUP($F31,Category!$A$2:$AZ$20,10,0)</f>
        <v>0.555555555555556</v>
      </c>
      <c r="AS31" s="6" t="n">
        <f aca="false">VLOOKUP($E31,Role!$A$2:$O$9,4,0)</f>
        <v>0.666</v>
      </c>
      <c r="AT31" s="7" t="n">
        <f aca="false">VLOOKUP($F31,Category!$A$2:$AZ$20,14,0)</f>
        <v>0.416666666666667</v>
      </c>
      <c r="AU31" s="7" t="n">
        <f aca="false">VLOOKUP($F31,Category!$A$2:$AZ$20,16,0)</f>
        <v>0.25</v>
      </c>
      <c r="AV31" s="7" t="n">
        <f aca="false">VLOOKUP($D31,Size!$A$2:$Z$14,17,0)</f>
        <v>3</v>
      </c>
      <c r="AW31" s="7" t="n">
        <f aca="false">VLOOKUP($E31,Role!$A$2:$O$9,3,0)</f>
        <v>0.666</v>
      </c>
      <c r="AX31" s="7" t="n">
        <f aca="false">VLOOKUP($F31,Category!$A$2:$AZ$20,29,0)</f>
        <v>0.333333333333333</v>
      </c>
      <c r="AY31" s="7" t="n">
        <f aca="false">VLOOKUP($F31,Category!$A$2:$AZ$20,31,0)</f>
        <v>0.333333333333333</v>
      </c>
      <c r="AZ31" s="7" t="n">
        <f aca="false">VLOOKUP($D31,Size!$A$2:$Z$14,16,0)</f>
        <v>3</v>
      </c>
      <c r="BA31" s="7" t="n">
        <f aca="false">VLOOKUP($E31,Role!$A$2:$O$9,2,0)</f>
        <v>0.666</v>
      </c>
      <c r="BC31" s="7" t="n">
        <f aca="false">VLOOKUP($D31,Size!$A$2:$Z$14,19,0)</f>
        <v>10</v>
      </c>
      <c r="BD31" s="7" t="n">
        <f aca="false">VLOOKUP($D31,Size!$A$2:$Z$14,20,0)</f>
        <v>1</v>
      </c>
      <c r="BE31" s="7" t="n">
        <f aca="false">VLOOKUP($E31,Role!$A$2:$O$9,12,0)</f>
        <v>1.25</v>
      </c>
      <c r="BF31" s="7" t="n">
        <f aca="false">VLOOKUP($C31,Type!$A$2:$B$4,2,0)</f>
        <v>1</v>
      </c>
      <c r="BG31" s="7" t="n">
        <f aca="false">VLOOKUP($D31,Size!$A$2:$Z$14,18,0)</f>
        <v>13</v>
      </c>
      <c r="BH31" s="7" t="n">
        <f aca="false">INT($BF31*$BG31*$BE31*$B31/2)</f>
        <v>16</v>
      </c>
      <c r="BI31" s="7" t="n">
        <f aca="false">INT(($BC31*$BF31)+($I31*$BD31))</f>
        <v>11</v>
      </c>
      <c r="BJ31" s="7" t="n">
        <f aca="false">INT((($I31*$BE31)+$BC31)*$BF31)</f>
        <v>11</v>
      </c>
      <c r="BK31" s="14"/>
      <c r="BL31" s="7" t="n">
        <f aca="false">VLOOKUP($E31,Role!$A$2:$O$9,13,0)</f>
        <v>1.25</v>
      </c>
      <c r="BM31" s="7" t="n">
        <f aca="false">VLOOKUP($E31,Role!$A$2:$O$9,11,0)</f>
        <v>0.666</v>
      </c>
      <c r="BO31" s="7" t="n">
        <f aca="false">VLOOKUP($E31,Role!$A$2:$O$9,8,0)</f>
        <v>0.75</v>
      </c>
      <c r="BP31" s="7" t="n">
        <f aca="false">VLOOKUP($E31,Role!$A$2:$O$9,9,0)</f>
        <v>0.75</v>
      </c>
      <c r="BQ31" s="7" t="n">
        <f aca="false">VLOOKUP($E31,Role!$A$2:$O$9,10,0)</f>
        <v>0.5</v>
      </c>
    </row>
    <row r="32" customFormat="false" ht="12.8" hidden="false" customHeight="false" outlineLevel="0" collapsed="false">
      <c r="B32" s="2" t="n">
        <v>2</v>
      </c>
      <c r="C32" s="3" t="s">
        <v>63</v>
      </c>
      <c r="D32" s="1" t="s">
        <v>64</v>
      </c>
      <c r="E32" s="1" t="s">
        <v>70</v>
      </c>
      <c r="F32" s="1" t="s">
        <v>79</v>
      </c>
      <c r="G32" s="1" t="s">
        <v>67</v>
      </c>
      <c r="H32" s="4" t="n">
        <f aca="false">VLOOKUP($D32,Size!$A$2:$Z$14,6,0)</f>
        <v>1</v>
      </c>
      <c r="I32" s="13" t="n">
        <f aca="false">INT(($B32*$AZ32*$AX32*$BA32)+($B32*$AY32))</f>
        <v>1</v>
      </c>
      <c r="J32" s="4" t="n">
        <f aca="false">ROUND((($B32*$AT32)+($AV32*$AU32))*$AW32,0)</f>
        <v>1</v>
      </c>
      <c r="K32" s="4" t="n">
        <f aca="false">ROUND((($B32*$AP32)+($B32*$AQ32))*$AS32,0)</f>
        <v>1</v>
      </c>
      <c r="L32" s="4" t="n">
        <f aca="false">ROUND((($B32*$AM32)+($B32*$AN32))*$AO32,0)</f>
        <v>1</v>
      </c>
      <c r="M32" s="4" t="n">
        <f aca="false">ROUND((($B32*$AG32)+($B32*$AH32))*$AI32,0)</f>
        <v>0</v>
      </c>
      <c r="N32" s="4" t="n">
        <f aca="false">ROUND((($B32*$AJ32)+($B32*$AK32))*$AL32,0)</f>
        <v>1</v>
      </c>
      <c r="O32" s="4" t="n">
        <f aca="false">INT($BO32*$B32)</f>
        <v>1</v>
      </c>
      <c r="P32" s="4" t="n">
        <f aca="false">INT($BP32*$B32)</f>
        <v>1</v>
      </c>
      <c r="Q32" s="4" t="n">
        <f aca="false">INT($BQ32*$B32*$AR32)</f>
        <v>0</v>
      </c>
      <c r="R32" s="4" t="n">
        <f aca="false">IF($R$1="WT/G",INT(POWER($BH32*$BJ32*$BI32,0.333333)),0)+IF($R$1="WT/A",INT(($BH32+$BJ32+$BI32)/3),0)+IF($R$1="WT/A2",INT(($BJ32+$BI32)/2),0)+IF($R$1="WT/W",INT(($BH32+$BJ32+$BJ32+$BI32)/4),0)+IF($R$1="WT/W2",INT(($BH32+$BJ32+$BI32+$BI32)/4),0)+IF($R$1="WT/N",INT(MIN($BH32,$BJ32,$BI32)),0)+IF($R$1="WT/M",INT(MAX($BH32,$BJ32,$BI32)),0)+IF($R$1="WT/1",INT($BH32),0)+IF($R$1="WT/2",INT($BI32),0)+IF($R$1="WT/3",INT($BJ32),0)</f>
        <v>12</v>
      </c>
      <c r="S32" s="4" t="n">
        <f aca="false">INT((10+$M32)*$BL32)</f>
        <v>12</v>
      </c>
      <c r="T32" s="4" t="n">
        <f aca="false">INT($I32*$BM32*$BF32)</f>
        <v>0</v>
      </c>
      <c r="U32" s="2" t="n">
        <f aca="false">ROUND(MAX($J32,$L32)+(MIN($J32,$L32)*$X32),0)</f>
        <v>2</v>
      </c>
      <c r="V32" s="2" t="n">
        <f aca="false">MAX(1,INT(((MIN($I32:$J32)+(MAX($I32:$J32)*$H32*$Y32)))*$Z32))</f>
        <v>2</v>
      </c>
      <c r="X32" s="5" t="n">
        <f aca="false">VLOOKUP($E32,Role!$A$2:$O$9,14,0)</f>
        <v>1</v>
      </c>
      <c r="Y32" s="5" t="n">
        <f aca="false">VLOOKUP($E32,Role!$A$2:$O$9,15,0)</f>
        <v>1</v>
      </c>
      <c r="Z32" s="5" t="n">
        <f aca="false">VLOOKUP($G32,Movement!$A$2:$C$7,3,0)</f>
        <v>1</v>
      </c>
      <c r="AB32" s="5" t="n">
        <f aca="false">INT(5+(($H32-1)/3))</f>
        <v>5</v>
      </c>
      <c r="AC32" s="5" t="n">
        <f aca="false">IF($AB32&lt;$I32,$I32-MAX($AB32,$B32),0)</f>
        <v>0</v>
      </c>
      <c r="AD32" s="5" t="n">
        <f aca="false">(5-ROUND(($H32-1)/3,0))</f>
        <v>5</v>
      </c>
      <c r="AE32" s="5" t="n">
        <f aca="false">IF($AD32&lt;$J32,$J32-MAX($AD32,$B32),0)</f>
        <v>0</v>
      </c>
      <c r="AG32" s="6" t="n">
        <f aca="false">VLOOKUP($F32,Category!$A$2:$AZ$20,24,0)</f>
        <v>0</v>
      </c>
      <c r="AH32" s="6" t="n">
        <f aca="false">VLOOKUP($F32,Category!$A$2:$AZ$20,26,0)</f>
        <v>0.333333333333333</v>
      </c>
      <c r="AI32" s="6" t="n">
        <f aca="false">VLOOKUP($E32,Role!$A$2:$O$9,6,0)</f>
        <v>0.666</v>
      </c>
      <c r="AJ32" s="6" t="n">
        <f aca="false">VLOOKUP($F32,Category!$A$2:$AZ$20,19,0)</f>
        <v>0.0909090909090909</v>
      </c>
      <c r="AK32" s="6" t="n">
        <f aca="false">VLOOKUP($F32,Category!$A$2:$AZ$20,21,0)</f>
        <v>0.545454545454545</v>
      </c>
      <c r="AL32" s="6" t="n">
        <f aca="false">VLOOKUP($E32,Role!$A$2:$O$9,7,0)</f>
        <v>0.666</v>
      </c>
      <c r="AM32" s="6" t="n">
        <f aca="false">VLOOKUP($F32,Category!$A$2:$AZ$20,19,0)</f>
        <v>0.0909090909090909</v>
      </c>
      <c r="AN32" s="6" t="n">
        <f aca="false">VLOOKUP($F32,Category!$A$2:$AZ$20,21,0)</f>
        <v>0.545454545454545</v>
      </c>
      <c r="AO32" s="6" t="n">
        <f aca="false">VLOOKUP($E32,Role!$A$2:$O$9,5,0)</f>
        <v>0.666</v>
      </c>
      <c r="AP32" s="6" t="n">
        <f aca="false">VLOOKUP($F32,Category!$A$2:$AZ$20,9,0)</f>
        <v>0</v>
      </c>
      <c r="AQ32" s="6" t="n">
        <f aca="false">VLOOKUP($F32,Category!$A$2:$AZ$20,11,0)</f>
        <v>0.555555555555556</v>
      </c>
      <c r="AR32" s="6" t="n">
        <f aca="false">VLOOKUP($F32,Category!$A$2:$AZ$20,10,0)</f>
        <v>0.555555555555556</v>
      </c>
      <c r="AS32" s="6" t="n">
        <f aca="false">VLOOKUP($E32,Role!$A$2:$O$9,4,0)</f>
        <v>0.666</v>
      </c>
      <c r="AT32" s="7" t="n">
        <f aca="false">VLOOKUP($F32,Category!$A$2:$AZ$20,14,0)</f>
        <v>0.416666666666667</v>
      </c>
      <c r="AU32" s="7" t="n">
        <f aca="false">VLOOKUP($F32,Category!$A$2:$AZ$20,16,0)</f>
        <v>0.25</v>
      </c>
      <c r="AV32" s="7" t="n">
        <f aca="false">VLOOKUP($D32,Size!$A$2:$Z$14,17,0)</f>
        <v>3</v>
      </c>
      <c r="AW32" s="7" t="n">
        <f aca="false">VLOOKUP($E32,Role!$A$2:$O$9,3,0)</f>
        <v>0.666</v>
      </c>
      <c r="AX32" s="7" t="n">
        <f aca="false">VLOOKUP($F32,Category!$A$2:$AZ$20,29,0)</f>
        <v>0.333333333333333</v>
      </c>
      <c r="AY32" s="7" t="n">
        <f aca="false">VLOOKUP($F32,Category!$A$2:$AZ$20,31,0)</f>
        <v>0.333333333333333</v>
      </c>
      <c r="AZ32" s="7" t="n">
        <f aca="false">VLOOKUP($D32,Size!$A$2:$Z$14,16,0)</f>
        <v>3</v>
      </c>
      <c r="BA32" s="7" t="n">
        <f aca="false">VLOOKUP($E32,Role!$A$2:$O$9,2,0)</f>
        <v>0.666</v>
      </c>
      <c r="BC32" s="7" t="n">
        <f aca="false">VLOOKUP($D32,Size!$A$2:$Z$14,19,0)</f>
        <v>10</v>
      </c>
      <c r="BD32" s="7" t="n">
        <f aca="false">VLOOKUP($D32,Size!$A$2:$Z$14,20,0)</f>
        <v>1</v>
      </c>
      <c r="BE32" s="7" t="n">
        <f aca="false">VLOOKUP($E32,Role!$A$2:$O$9,12,0)</f>
        <v>1.25</v>
      </c>
      <c r="BF32" s="7" t="n">
        <f aca="false">VLOOKUP($C32,Type!$A$2:$B$4,2,0)</f>
        <v>1</v>
      </c>
      <c r="BG32" s="7" t="n">
        <f aca="false">VLOOKUP($D32,Size!$A$2:$Z$14,18,0)</f>
        <v>13</v>
      </c>
      <c r="BH32" s="7" t="n">
        <f aca="false">INT($BF32*$BG32*$BE32*$B32/2)</f>
        <v>16</v>
      </c>
      <c r="BI32" s="7" t="n">
        <f aca="false">INT(($BC32*$BF32)+($I32*$BD32))</f>
        <v>11</v>
      </c>
      <c r="BJ32" s="7" t="n">
        <f aca="false">INT((($I32*$BE32)+$BC32)*$BF32)</f>
        <v>11</v>
      </c>
      <c r="BK32" s="14"/>
      <c r="BL32" s="7" t="n">
        <f aca="false">VLOOKUP($E32,Role!$A$2:$O$9,13,0)</f>
        <v>1.25</v>
      </c>
      <c r="BM32" s="7" t="n">
        <f aca="false">VLOOKUP($E32,Role!$A$2:$O$9,11,0)</f>
        <v>0.666</v>
      </c>
      <c r="BO32" s="7" t="n">
        <f aca="false">VLOOKUP($E32,Role!$A$2:$O$9,8,0)</f>
        <v>0.75</v>
      </c>
      <c r="BP32" s="7" t="n">
        <f aca="false">VLOOKUP($E32,Role!$A$2:$O$9,9,0)</f>
        <v>0.75</v>
      </c>
      <c r="BQ32" s="7" t="n">
        <f aca="false">VLOOKUP($E32,Role!$A$2:$O$9,10,0)</f>
        <v>0.5</v>
      </c>
    </row>
    <row r="33" customFormat="false" ht="12.8" hidden="false" customHeight="false" outlineLevel="0" collapsed="false">
      <c r="B33" s="2" t="n">
        <v>2</v>
      </c>
      <c r="C33" s="3" t="s">
        <v>63</v>
      </c>
      <c r="D33" s="1" t="s">
        <v>64</v>
      </c>
      <c r="E33" s="1" t="s">
        <v>70</v>
      </c>
      <c r="F33" s="1" t="s">
        <v>79</v>
      </c>
      <c r="G33" s="1" t="s">
        <v>67</v>
      </c>
      <c r="H33" s="4" t="n">
        <f aca="false">VLOOKUP($D33,Size!$A$2:$Z$14,6,0)</f>
        <v>1</v>
      </c>
      <c r="I33" s="13" t="n">
        <f aca="false">INT(($B33*$AZ33*$AX33*$BA33)+($B33*$AY33))</f>
        <v>1</v>
      </c>
      <c r="J33" s="4" t="n">
        <f aca="false">ROUND((($B33*$AT33)+($AV33*$AU33))*$AW33,0)</f>
        <v>1</v>
      </c>
      <c r="K33" s="4" t="n">
        <f aca="false">ROUND((($B33*$AP33)+($B33*$AQ33))*$AS33,0)</f>
        <v>1</v>
      </c>
      <c r="L33" s="4" t="n">
        <f aca="false">ROUND((($B33*$AM33)+($B33*$AN33))*$AO33,0)</f>
        <v>1</v>
      </c>
      <c r="M33" s="4" t="n">
        <f aca="false">ROUND((($B33*$AG33)+($B33*$AH33))*$AI33,0)</f>
        <v>0</v>
      </c>
      <c r="N33" s="4" t="n">
        <f aca="false">ROUND((($B33*$AJ33)+($B33*$AK33))*$AL33,0)</f>
        <v>1</v>
      </c>
      <c r="O33" s="4" t="n">
        <f aca="false">INT($BO33*$B33)</f>
        <v>1</v>
      </c>
      <c r="P33" s="4" t="n">
        <f aca="false">INT($BP33*$B33)</f>
        <v>1</v>
      </c>
      <c r="Q33" s="4" t="n">
        <f aca="false">INT($BQ33*$B33*$AR33)</f>
        <v>0</v>
      </c>
      <c r="R33" s="4" t="n">
        <f aca="false">IF($R$1="WT/G",INT(POWER($BH33*$BJ33*$BI33,0.333333)),0)+IF($R$1="WT/A",INT(($BH33+$BJ33+$BI33)/3),0)+IF($R$1="WT/A2",INT(($BJ33+$BI33)/2),0)+IF($R$1="WT/W",INT(($BH33+$BJ33+$BJ33+$BI33)/4),0)+IF($R$1="WT/W2",INT(($BH33+$BJ33+$BI33+$BI33)/4),0)+IF($R$1="WT/N",INT(MIN($BH33,$BJ33,$BI33)),0)+IF($R$1="WT/M",INT(MAX($BH33,$BJ33,$BI33)),0)+IF($R$1="WT/1",INT($BH33),0)+IF($R$1="WT/2",INT($BI33),0)+IF($R$1="WT/3",INT($BJ33),0)</f>
        <v>12</v>
      </c>
      <c r="S33" s="4" t="n">
        <f aca="false">INT((10+$M33)*$BL33)</f>
        <v>12</v>
      </c>
      <c r="T33" s="4" t="n">
        <f aca="false">INT($I33*$BM33*$BF33)</f>
        <v>0</v>
      </c>
      <c r="U33" s="2" t="n">
        <f aca="false">ROUND(MAX($J33,$L33)+(MIN($J33,$L33)*$X33),0)</f>
        <v>2</v>
      </c>
      <c r="V33" s="2" t="n">
        <f aca="false">MAX(1,INT(((MIN($I33:$J33)+(MAX($I33:$J33)*$H33*$Y33)))*$Z33))</f>
        <v>2</v>
      </c>
      <c r="X33" s="5" t="n">
        <f aca="false">VLOOKUP($E33,Role!$A$2:$O$9,14,0)</f>
        <v>1</v>
      </c>
      <c r="Y33" s="5" t="n">
        <f aca="false">VLOOKUP($E33,Role!$A$2:$O$9,15,0)</f>
        <v>1</v>
      </c>
      <c r="Z33" s="5" t="n">
        <f aca="false">VLOOKUP($G33,Movement!$A$2:$C$7,3,0)</f>
        <v>1</v>
      </c>
      <c r="AB33" s="5" t="n">
        <f aca="false">INT(5+(($H33-1)/3))</f>
        <v>5</v>
      </c>
      <c r="AC33" s="5" t="n">
        <f aca="false">IF($AB33&lt;$I33,$I33-MAX($AB33,$B33),0)</f>
        <v>0</v>
      </c>
      <c r="AD33" s="5" t="n">
        <f aca="false">(5-ROUND(($H33-1)/3,0))</f>
        <v>5</v>
      </c>
      <c r="AE33" s="5" t="n">
        <f aca="false">IF($AD33&lt;$J33,$J33-MAX($AD33,$B33),0)</f>
        <v>0</v>
      </c>
      <c r="AG33" s="6" t="n">
        <f aca="false">VLOOKUP($F33,Category!$A$2:$AZ$20,24,0)</f>
        <v>0</v>
      </c>
      <c r="AH33" s="6" t="n">
        <f aca="false">VLOOKUP($F33,Category!$A$2:$AZ$20,26,0)</f>
        <v>0.333333333333333</v>
      </c>
      <c r="AI33" s="6" t="n">
        <f aca="false">VLOOKUP($E33,Role!$A$2:$O$9,6,0)</f>
        <v>0.666</v>
      </c>
      <c r="AJ33" s="6" t="n">
        <f aca="false">VLOOKUP($F33,Category!$A$2:$AZ$20,19,0)</f>
        <v>0.0909090909090909</v>
      </c>
      <c r="AK33" s="6" t="n">
        <f aca="false">VLOOKUP($F33,Category!$A$2:$AZ$20,21,0)</f>
        <v>0.545454545454545</v>
      </c>
      <c r="AL33" s="6" t="n">
        <f aca="false">VLOOKUP($E33,Role!$A$2:$O$9,7,0)</f>
        <v>0.666</v>
      </c>
      <c r="AM33" s="6" t="n">
        <f aca="false">VLOOKUP($F33,Category!$A$2:$AZ$20,19,0)</f>
        <v>0.0909090909090909</v>
      </c>
      <c r="AN33" s="6" t="n">
        <f aca="false">VLOOKUP($F33,Category!$A$2:$AZ$20,21,0)</f>
        <v>0.545454545454545</v>
      </c>
      <c r="AO33" s="6" t="n">
        <f aca="false">VLOOKUP($E33,Role!$A$2:$O$9,5,0)</f>
        <v>0.666</v>
      </c>
      <c r="AP33" s="6" t="n">
        <f aca="false">VLOOKUP($F33,Category!$A$2:$AZ$20,9,0)</f>
        <v>0</v>
      </c>
      <c r="AQ33" s="6" t="n">
        <f aca="false">VLOOKUP($F33,Category!$A$2:$AZ$20,11,0)</f>
        <v>0.555555555555556</v>
      </c>
      <c r="AR33" s="6" t="n">
        <f aca="false">VLOOKUP($F33,Category!$A$2:$AZ$20,10,0)</f>
        <v>0.555555555555556</v>
      </c>
      <c r="AS33" s="6" t="n">
        <f aca="false">VLOOKUP($E33,Role!$A$2:$O$9,4,0)</f>
        <v>0.666</v>
      </c>
      <c r="AT33" s="7" t="n">
        <f aca="false">VLOOKUP($F33,Category!$A$2:$AZ$20,14,0)</f>
        <v>0.416666666666667</v>
      </c>
      <c r="AU33" s="7" t="n">
        <f aca="false">VLOOKUP($F33,Category!$A$2:$AZ$20,16,0)</f>
        <v>0.25</v>
      </c>
      <c r="AV33" s="7" t="n">
        <f aca="false">VLOOKUP($D33,Size!$A$2:$Z$14,17,0)</f>
        <v>3</v>
      </c>
      <c r="AW33" s="7" t="n">
        <f aca="false">VLOOKUP($E33,Role!$A$2:$O$9,3,0)</f>
        <v>0.666</v>
      </c>
      <c r="AX33" s="7" t="n">
        <f aca="false">VLOOKUP($F33,Category!$A$2:$AZ$20,29,0)</f>
        <v>0.333333333333333</v>
      </c>
      <c r="AY33" s="7" t="n">
        <f aca="false">VLOOKUP($F33,Category!$A$2:$AZ$20,31,0)</f>
        <v>0.333333333333333</v>
      </c>
      <c r="AZ33" s="7" t="n">
        <f aca="false">VLOOKUP($D33,Size!$A$2:$Z$14,16,0)</f>
        <v>3</v>
      </c>
      <c r="BA33" s="7" t="n">
        <f aca="false">VLOOKUP($E33,Role!$A$2:$O$9,2,0)</f>
        <v>0.666</v>
      </c>
      <c r="BC33" s="7" t="n">
        <f aca="false">VLOOKUP($D33,Size!$A$2:$Z$14,19,0)</f>
        <v>10</v>
      </c>
      <c r="BD33" s="7" t="n">
        <f aca="false">VLOOKUP($D33,Size!$A$2:$Z$14,20,0)</f>
        <v>1</v>
      </c>
      <c r="BE33" s="7" t="n">
        <f aca="false">VLOOKUP($E33,Role!$A$2:$O$9,12,0)</f>
        <v>1.25</v>
      </c>
      <c r="BF33" s="7" t="n">
        <f aca="false">VLOOKUP($C33,Type!$A$2:$B$4,2,0)</f>
        <v>1</v>
      </c>
      <c r="BG33" s="7" t="n">
        <f aca="false">VLOOKUP($D33,Size!$A$2:$Z$14,18,0)</f>
        <v>13</v>
      </c>
      <c r="BH33" s="7" t="n">
        <f aca="false">INT($BF33*$BG33*$BE33*$B33/2)</f>
        <v>16</v>
      </c>
      <c r="BI33" s="7" t="n">
        <f aca="false">INT(($BC33*$BF33)+($I33*$BD33))</f>
        <v>11</v>
      </c>
      <c r="BJ33" s="7" t="n">
        <f aca="false">INT((($I33*$BE33)+$BC33)*$BF33)</f>
        <v>11</v>
      </c>
      <c r="BK33" s="14"/>
      <c r="BL33" s="7" t="n">
        <f aca="false">VLOOKUP($E33,Role!$A$2:$O$9,13,0)</f>
        <v>1.25</v>
      </c>
      <c r="BM33" s="7" t="n">
        <f aca="false">VLOOKUP($E33,Role!$A$2:$O$9,11,0)</f>
        <v>0.666</v>
      </c>
      <c r="BO33" s="7" t="n">
        <f aca="false">VLOOKUP($E33,Role!$A$2:$O$9,8,0)</f>
        <v>0.75</v>
      </c>
      <c r="BP33" s="7" t="n">
        <f aca="false">VLOOKUP($E33,Role!$A$2:$O$9,9,0)</f>
        <v>0.75</v>
      </c>
      <c r="BQ33" s="7" t="n">
        <f aca="false">VLOOKUP($E33,Role!$A$2:$O$9,10,0)</f>
        <v>0.5</v>
      </c>
    </row>
    <row r="34" customFormat="false" ht="12.8" hidden="false" customHeight="false" outlineLevel="0" collapsed="false">
      <c r="B34" s="2" t="n">
        <v>2</v>
      </c>
      <c r="C34" s="3" t="s">
        <v>63</v>
      </c>
      <c r="D34" s="1" t="s">
        <v>64</v>
      </c>
      <c r="E34" s="1" t="s">
        <v>70</v>
      </c>
      <c r="F34" s="1" t="s">
        <v>79</v>
      </c>
      <c r="G34" s="1" t="s">
        <v>67</v>
      </c>
      <c r="H34" s="4" t="n">
        <f aca="false">VLOOKUP($D34,Size!$A$2:$Z$14,6,0)</f>
        <v>1</v>
      </c>
      <c r="I34" s="13" t="n">
        <f aca="false">INT(($B34*$AZ34*$AX34*$BA34)+($B34*$AY34))</f>
        <v>1</v>
      </c>
      <c r="J34" s="4" t="n">
        <f aca="false">ROUND((($B34*$AT34)+($AV34*$AU34))*$AW34,0)</f>
        <v>1</v>
      </c>
      <c r="K34" s="4" t="n">
        <f aca="false">ROUND((($B34*$AP34)+($B34*$AQ34))*$AS34,0)</f>
        <v>1</v>
      </c>
      <c r="L34" s="4" t="n">
        <f aca="false">ROUND((($B34*$AM34)+($B34*$AN34))*$AO34,0)</f>
        <v>1</v>
      </c>
      <c r="M34" s="4" t="n">
        <f aca="false">ROUND((($B34*$AG34)+($B34*$AH34))*$AI34,0)</f>
        <v>0</v>
      </c>
      <c r="N34" s="4" t="n">
        <f aca="false">ROUND((($B34*$AJ34)+($B34*$AK34))*$AL34,0)</f>
        <v>1</v>
      </c>
      <c r="O34" s="4" t="n">
        <f aca="false">INT($BO34*$B34)</f>
        <v>1</v>
      </c>
      <c r="P34" s="4" t="n">
        <f aca="false">INT($BP34*$B34)</f>
        <v>1</v>
      </c>
      <c r="Q34" s="4" t="n">
        <f aca="false">INT($BQ34*$B34*$AR34)</f>
        <v>0</v>
      </c>
      <c r="R34" s="4" t="n">
        <f aca="false">IF($R$1="WT/G",INT(POWER($BH34*$BJ34*$BI34,0.333333)),0)+IF($R$1="WT/A",INT(($BH34+$BJ34+$BI34)/3),0)+IF($R$1="WT/A2",INT(($BJ34+$BI34)/2),0)+IF($R$1="WT/W",INT(($BH34+$BJ34+$BJ34+$BI34)/4),0)+IF($R$1="WT/W2",INT(($BH34+$BJ34+$BI34+$BI34)/4),0)+IF($R$1="WT/N",INT(MIN($BH34,$BJ34,$BI34)),0)+IF($R$1="WT/M",INT(MAX($BH34,$BJ34,$BI34)),0)+IF($R$1="WT/1",INT($BH34),0)+IF($R$1="WT/2",INT($BI34),0)+IF($R$1="WT/3",INT($BJ34),0)</f>
        <v>12</v>
      </c>
      <c r="S34" s="4" t="n">
        <f aca="false">INT((10+$M34)*$BL34)</f>
        <v>12</v>
      </c>
      <c r="T34" s="4" t="n">
        <f aca="false">INT($I34*$BM34*$BF34)</f>
        <v>0</v>
      </c>
      <c r="U34" s="2" t="n">
        <f aca="false">ROUND(MAX($J34,$L34)+(MIN($J34,$L34)*$X34),0)</f>
        <v>2</v>
      </c>
      <c r="V34" s="2" t="n">
        <f aca="false">MAX(1,INT(((MIN($I34:$J34)+(MAX($I34:$J34)*$H34*$Y34)))*$Z34))</f>
        <v>2</v>
      </c>
      <c r="X34" s="5" t="n">
        <f aca="false">VLOOKUP($E34,Role!$A$2:$O$9,14,0)</f>
        <v>1</v>
      </c>
      <c r="Y34" s="5" t="n">
        <f aca="false">VLOOKUP($E34,Role!$A$2:$O$9,15,0)</f>
        <v>1</v>
      </c>
      <c r="Z34" s="5" t="n">
        <f aca="false">VLOOKUP($G34,Movement!$A$2:$C$7,3,0)</f>
        <v>1</v>
      </c>
      <c r="AB34" s="5" t="n">
        <f aca="false">INT(5+(($H34-1)/3))</f>
        <v>5</v>
      </c>
      <c r="AC34" s="5" t="n">
        <f aca="false">IF($AB34&lt;$I34,$I34-MAX($AB34,$B34),0)</f>
        <v>0</v>
      </c>
      <c r="AD34" s="5" t="n">
        <f aca="false">(5-ROUND(($H34-1)/3,0))</f>
        <v>5</v>
      </c>
      <c r="AE34" s="5" t="n">
        <f aca="false">IF($AD34&lt;$J34,$J34-MAX($AD34,$B34),0)</f>
        <v>0</v>
      </c>
      <c r="AG34" s="6" t="n">
        <f aca="false">VLOOKUP($F34,Category!$A$2:$AZ$20,24,0)</f>
        <v>0</v>
      </c>
      <c r="AH34" s="6" t="n">
        <f aca="false">VLOOKUP($F34,Category!$A$2:$AZ$20,26,0)</f>
        <v>0.333333333333333</v>
      </c>
      <c r="AI34" s="6" t="n">
        <f aca="false">VLOOKUP($E34,Role!$A$2:$O$9,6,0)</f>
        <v>0.666</v>
      </c>
      <c r="AJ34" s="6" t="n">
        <f aca="false">VLOOKUP($F34,Category!$A$2:$AZ$20,19,0)</f>
        <v>0.0909090909090909</v>
      </c>
      <c r="AK34" s="6" t="n">
        <f aca="false">VLOOKUP($F34,Category!$A$2:$AZ$20,21,0)</f>
        <v>0.545454545454545</v>
      </c>
      <c r="AL34" s="6" t="n">
        <f aca="false">VLOOKUP($E34,Role!$A$2:$O$9,7,0)</f>
        <v>0.666</v>
      </c>
      <c r="AM34" s="6" t="n">
        <f aca="false">VLOOKUP($F34,Category!$A$2:$AZ$20,19,0)</f>
        <v>0.0909090909090909</v>
      </c>
      <c r="AN34" s="6" t="n">
        <f aca="false">VLOOKUP($F34,Category!$A$2:$AZ$20,21,0)</f>
        <v>0.545454545454545</v>
      </c>
      <c r="AO34" s="6" t="n">
        <f aca="false">VLOOKUP($E34,Role!$A$2:$O$9,5,0)</f>
        <v>0.666</v>
      </c>
      <c r="AP34" s="6" t="n">
        <f aca="false">VLOOKUP($F34,Category!$A$2:$AZ$20,9,0)</f>
        <v>0</v>
      </c>
      <c r="AQ34" s="6" t="n">
        <f aca="false">VLOOKUP($F34,Category!$A$2:$AZ$20,11,0)</f>
        <v>0.555555555555556</v>
      </c>
      <c r="AR34" s="6" t="n">
        <f aca="false">VLOOKUP($F34,Category!$A$2:$AZ$20,10,0)</f>
        <v>0.555555555555556</v>
      </c>
      <c r="AS34" s="6" t="n">
        <f aca="false">VLOOKUP($E34,Role!$A$2:$O$9,4,0)</f>
        <v>0.666</v>
      </c>
      <c r="AT34" s="7" t="n">
        <f aca="false">VLOOKUP($F34,Category!$A$2:$AZ$20,14,0)</f>
        <v>0.416666666666667</v>
      </c>
      <c r="AU34" s="7" t="n">
        <f aca="false">VLOOKUP($F34,Category!$A$2:$AZ$20,16,0)</f>
        <v>0.25</v>
      </c>
      <c r="AV34" s="7" t="n">
        <f aca="false">VLOOKUP($D34,Size!$A$2:$Z$14,17,0)</f>
        <v>3</v>
      </c>
      <c r="AW34" s="7" t="n">
        <f aca="false">VLOOKUP($E34,Role!$A$2:$O$9,3,0)</f>
        <v>0.666</v>
      </c>
      <c r="AX34" s="7" t="n">
        <f aca="false">VLOOKUP($F34,Category!$A$2:$AZ$20,29,0)</f>
        <v>0.333333333333333</v>
      </c>
      <c r="AY34" s="7" t="n">
        <f aca="false">VLOOKUP($F34,Category!$A$2:$AZ$20,31,0)</f>
        <v>0.333333333333333</v>
      </c>
      <c r="AZ34" s="7" t="n">
        <f aca="false">VLOOKUP($D34,Size!$A$2:$Z$14,16,0)</f>
        <v>3</v>
      </c>
      <c r="BA34" s="7" t="n">
        <f aca="false">VLOOKUP($E34,Role!$A$2:$O$9,2,0)</f>
        <v>0.666</v>
      </c>
      <c r="BC34" s="7" t="n">
        <f aca="false">VLOOKUP($D34,Size!$A$2:$Z$14,19,0)</f>
        <v>10</v>
      </c>
      <c r="BD34" s="7" t="n">
        <f aca="false">VLOOKUP($D34,Size!$A$2:$Z$14,20,0)</f>
        <v>1</v>
      </c>
      <c r="BE34" s="7" t="n">
        <f aca="false">VLOOKUP($E34,Role!$A$2:$O$9,12,0)</f>
        <v>1.25</v>
      </c>
      <c r="BF34" s="7" t="n">
        <f aca="false">VLOOKUP($C34,Type!$A$2:$B$4,2,0)</f>
        <v>1</v>
      </c>
      <c r="BG34" s="7" t="n">
        <f aca="false">VLOOKUP($D34,Size!$A$2:$Z$14,18,0)</f>
        <v>13</v>
      </c>
      <c r="BH34" s="7" t="n">
        <f aca="false">INT($BF34*$BG34*$BE34*$B34/2)</f>
        <v>16</v>
      </c>
      <c r="BI34" s="7" t="n">
        <f aca="false">INT(($BC34*$BF34)+($I34*$BD34))</f>
        <v>11</v>
      </c>
      <c r="BJ34" s="7" t="n">
        <f aca="false">INT((($I34*$BE34)+$BC34)*$BF34)</f>
        <v>11</v>
      </c>
      <c r="BK34" s="14"/>
      <c r="BL34" s="7" t="n">
        <f aca="false">VLOOKUP($E34,Role!$A$2:$O$9,13,0)</f>
        <v>1.25</v>
      </c>
      <c r="BM34" s="7" t="n">
        <f aca="false">VLOOKUP($E34,Role!$A$2:$O$9,11,0)</f>
        <v>0.666</v>
      </c>
      <c r="BO34" s="7" t="n">
        <f aca="false">VLOOKUP($E34,Role!$A$2:$O$9,8,0)</f>
        <v>0.75</v>
      </c>
      <c r="BP34" s="7" t="n">
        <f aca="false">VLOOKUP($E34,Role!$A$2:$O$9,9,0)</f>
        <v>0.75</v>
      </c>
      <c r="BQ34" s="7" t="n">
        <f aca="false">VLOOKUP($E34,Role!$A$2:$O$9,10,0)</f>
        <v>0.5</v>
      </c>
    </row>
    <row r="35" customFormat="false" ht="12.8" hidden="false" customHeight="false" outlineLevel="0" collapsed="false">
      <c r="B35" s="2" t="n">
        <v>2</v>
      </c>
      <c r="C35" s="3" t="s">
        <v>63</v>
      </c>
      <c r="D35" s="1" t="s">
        <v>64</v>
      </c>
      <c r="E35" s="1" t="s">
        <v>70</v>
      </c>
      <c r="F35" s="1" t="s">
        <v>79</v>
      </c>
      <c r="G35" s="1" t="s">
        <v>67</v>
      </c>
      <c r="H35" s="4" t="n">
        <f aca="false">VLOOKUP($D35,Size!$A$2:$Z$14,6,0)</f>
        <v>1</v>
      </c>
      <c r="I35" s="13" t="n">
        <f aca="false">INT(($B35*$AZ35*$AX35*$BA35)+($B35*$AY35))</f>
        <v>1</v>
      </c>
      <c r="J35" s="4" t="n">
        <f aca="false">ROUND((($B35*$AT35)+($AV35*$AU35))*$AW35,0)</f>
        <v>1</v>
      </c>
      <c r="K35" s="4" t="n">
        <f aca="false">ROUND((($B35*$AP35)+($B35*$AQ35))*$AS35,0)</f>
        <v>1</v>
      </c>
      <c r="L35" s="4" t="n">
        <f aca="false">ROUND((($B35*$AM35)+($B35*$AN35))*$AO35,0)</f>
        <v>1</v>
      </c>
      <c r="M35" s="4" t="n">
        <f aca="false">ROUND((($B35*$AG35)+($B35*$AH35))*$AI35,0)</f>
        <v>0</v>
      </c>
      <c r="N35" s="4" t="n">
        <f aca="false">ROUND((($B35*$AJ35)+($B35*$AK35))*$AL35,0)</f>
        <v>1</v>
      </c>
      <c r="O35" s="4" t="n">
        <f aca="false">INT($BO35*$B35)</f>
        <v>1</v>
      </c>
      <c r="P35" s="4" t="n">
        <f aca="false">INT($BP35*$B35)</f>
        <v>1</v>
      </c>
      <c r="Q35" s="4" t="n">
        <f aca="false">INT($BQ35*$B35*$AR35)</f>
        <v>0</v>
      </c>
      <c r="R35" s="4" t="n">
        <f aca="false">IF($R$1="WT/G",INT(POWER($BH35*$BJ35*$BI35,0.333333)),0)+IF($R$1="WT/A",INT(($BH35+$BJ35+$BI35)/3),0)+IF($R$1="WT/A2",INT(($BJ35+$BI35)/2),0)+IF($R$1="WT/W",INT(($BH35+$BJ35+$BJ35+$BI35)/4),0)+IF($R$1="WT/W2",INT(($BH35+$BJ35+$BI35+$BI35)/4),0)+IF($R$1="WT/N",INT(MIN($BH35,$BJ35,$BI35)),0)+IF($R$1="WT/M",INT(MAX($BH35,$BJ35,$BI35)),0)+IF($R$1="WT/1",INT($BH35),0)+IF($R$1="WT/2",INT($BI35),0)+IF($R$1="WT/3",INT($BJ35),0)</f>
        <v>12</v>
      </c>
      <c r="S35" s="4" t="n">
        <f aca="false">INT((10+$M35)*$BL35)</f>
        <v>12</v>
      </c>
      <c r="T35" s="4" t="n">
        <f aca="false">INT($I35*$BM35*$BF35)</f>
        <v>0</v>
      </c>
      <c r="U35" s="2" t="n">
        <f aca="false">ROUND(MAX($J35,$L35)+(MIN($J35,$L35)*$X35),0)</f>
        <v>2</v>
      </c>
      <c r="V35" s="2" t="n">
        <f aca="false">MAX(1,INT(((MIN($I35:$J35)+(MAX($I35:$J35)*$H35*$Y35)))*$Z35))</f>
        <v>2</v>
      </c>
      <c r="X35" s="5" t="n">
        <f aca="false">VLOOKUP($E35,Role!$A$2:$O$9,14,0)</f>
        <v>1</v>
      </c>
      <c r="Y35" s="5" t="n">
        <f aca="false">VLOOKUP($E35,Role!$A$2:$O$9,15,0)</f>
        <v>1</v>
      </c>
      <c r="Z35" s="5" t="n">
        <f aca="false">VLOOKUP($G35,Movement!$A$2:$C$7,3,0)</f>
        <v>1</v>
      </c>
      <c r="AB35" s="5" t="n">
        <f aca="false">INT(5+(($H35-1)/3))</f>
        <v>5</v>
      </c>
      <c r="AC35" s="5" t="n">
        <f aca="false">IF($AB35&lt;$I35,$I35-MAX($AB35,$B35),0)</f>
        <v>0</v>
      </c>
      <c r="AD35" s="5" t="n">
        <f aca="false">(5-ROUND(($H35-1)/3,0))</f>
        <v>5</v>
      </c>
      <c r="AE35" s="5" t="n">
        <f aca="false">IF($AD35&lt;$J35,$J35-MAX($AD35,$B35),0)</f>
        <v>0</v>
      </c>
      <c r="AG35" s="6" t="n">
        <f aca="false">VLOOKUP($F35,Category!$A$2:$AZ$20,24,0)</f>
        <v>0</v>
      </c>
      <c r="AH35" s="6" t="n">
        <f aca="false">VLOOKUP($F35,Category!$A$2:$AZ$20,26,0)</f>
        <v>0.333333333333333</v>
      </c>
      <c r="AI35" s="6" t="n">
        <f aca="false">VLOOKUP($E35,Role!$A$2:$O$9,6,0)</f>
        <v>0.666</v>
      </c>
      <c r="AJ35" s="6" t="n">
        <f aca="false">VLOOKUP($F35,Category!$A$2:$AZ$20,19,0)</f>
        <v>0.0909090909090909</v>
      </c>
      <c r="AK35" s="6" t="n">
        <f aca="false">VLOOKUP($F35,Category!$A$2:$AZ$20,21,0)</f>
        <v>0.545454545454545</v>
      </c>
      <c r="AL35" s="6" t="n">
        <f aca="false">VLOOKUP($E35,Role!$A$2:$O$9,7,0)</f>
        <v>0.666</v>
      </c>
      <c r="AM35" s="6" t="n">
        <f aca="false">VLOOKUP($F35,Category!$A$2:$AZ$20,19,0)</f>
        <v>0.0909090909090909</v>
      </c>
      <c r="AN35" s="6" t="n">
        <f aca="false">VLOOKUP($F35,Category!$A$2:$AZ$20,21,0)</f>
        <v>0.545454545454545</v>
      </c>
      <c r="AO35" s="6" t="n">
        <f aca="false">VLOOKUP($E35,Role!$A$2:$O$9,5,0)</f>
        <v>0.666</v>
      </c>
      <c r="AP35" s="6" t="n">
        <f aca="false">VLOOKUP($F35,Category!$A$2:$AZ$20,9,0)</f>
        <v>0</v>
      </c>
      <c r="AQ35" s="6" t="n">
        <f aca="false">VLOOKUP($F35,Category!$A$2:$AZ$20,11,0)</f>
        <v>0.555555555555556</v>
      </c>
      <c r="AR35" s="6" t="n">
        <f aca="false">VLOOKUP($F35,Category!$A$2:$AZ$20,10,0)</f>
        <v>0.555555555555556</v>
      </c>
      <c r="AS35" s="6" t="n">
        <f aca="false">VLOOKUP($E35,Role!$A$2:$O$9,4,0)</f>
        <v>0.666</v>
      </c>
      <c r="AT35" s="7" t="n">
        <f aca="false">VLOOKUP($F35,Category!$A$2:$AZ$20,14,0)</f>
        <v>0.416666666666667</v>
      </c>
      <c r="AU35" s="7" t="n">
        <f aca="false">VLOOKUP($F35,Category!$A$2:$AZ$20,16,0)</f>
        <v>0.25</v>
      </c>
      <c r="AV35" s="7" t="n">
        <f aca="false">VLOOKUP($D35,Size!$A$2:$Z$14,17,0)</f>
        <v>3</v>
      </c>
      <c r="AW35" s="7" t="n">
        <f aca="false">VLOOKUP($E35,Role!$A$2:$O$9,3,0)</f>
        <v>0.666</v>
      </c>
      <c r="AX35" s="7" t="n">
        <f aca="false">VLOOKUP($F35,Category!$A$2:$AZ$20,29,0)</f>
        <v>0.333333333333333</v>
      </c>
      <c r="AY35" s="7" t="n">
        <f aca="false">VLOOKUP($F35,Category!$A$2:$AZ$20,31,0)</f>
        <v>0.333333333333333</v>
      </c>
      <c r="AZ35" s="7" t="n">
        <f aca="false">VLOOKUP($D35,Size!$A$2:$Z$14,16,0)</f>
        <v>3</v>
      </c>
      <c r="BA35" s="7" t="n">
        <f aca="false">VLOOKUP($E35,Role!$A$2:$O$9,2,0)</f>
        <v>0.666</v>
      </c>
      <c r="BC35" s="7" t="n">
        <f aca="false">VLOOKUP($D35,Size!$A$2:$Z$14,19,0)</f>
        <v>10</v>
      </c>
      <c r="BD35" s="7" t="n">
        <f aca="false">VLOOKUP($D35,Size!$A$2:$Z$14,20,0)</f>
        <v>1</v>
      </c>
      <c r="BE35" s="7" t="n">
        <f aca="false">VLOOKUP($E35,Role!$A$2:$O$9,12,0)</f>
        <v>1.25</v>
      </c>
      <c r="BF35" s="7" t="n">
        <f aca="false">VLOOKUP($C35,Type!$A$2:$B$4,2,0)</f>
        <v>1</v>
      </c>
      <c r="BG35" s="7" t="n">
        <f aca="false">VLOOKUP($D35,Size!$A$2:$Z$14,18,0)</f>
        <v>13</v>
      </c>
      <c r="BH35" s="7" t="n">
        <f aca="false">INT($BF35*$BG35*$BE35*$B35/2)</f>
        <v>16</v>
      </c>
      <c r="BI35" s="7" t="n">
        <f aca="false">INT(($BC35*$BF35)+($I35*$BD35))</f>
        <v>11</v>
      </c>
      <c r="BJ35" s="7" t="n">
        <f aca="false">INT((($I35*$BE35)+$BC35)*$BF35)</f>
        <v>11</v>
      </c>
      <c r="BK35" s="14"/>
      <c r="BL35" s="7" t="n">
        <f aca="false">VLOOKUP($E35,Role!$A$2:$O$9,13,0)</f>
        <v>1.25</v>
      </c>
      <c r="BM35" s="7" t="n">
        <f aca="false">VLOOKUP($E35,Role!$A$2:$O$9,11,0)</f>
        <v>0.666</v>
      </c>
      <c r="BO35" s="7" t="n">
        <f aca="false">VLOOKUP($E35,Role!$A$2:$O$9,8,0)</f>
        <v>0.75</v>
      </c>
      <c r="BP35" s="7" t="n">
        <f aca="false">VLOOKUP($E35,Role!$A$2:$O$9,9,0)</f>
        <v>0.75</v>
      </c>
      <c r="BQ35" s="7" t="n">
        <f aca="false">VLOOKUP($E35,Role!$A$2:$O$9,10,0)</f>
        <v>0.5</v>
      </c>
    </row>
    <row r="36" customFormat="false" ht="12.8" hidden="false" customHeight="false" outlineLevel="0" collapsed="false">
      <c r="B36" s="2" t="n">
        <v>2</v>
      </c>
      <c r="C36" s="3" t="s">
        <v>63</v>
      </c>
      <c r="D36" s="1" t="s">
        <v>64</v>
      </c>
      <c r="E36" s="1" t="s">
        <v>70</v>
      </c>
      <c r="F36" s="1" t="s">
        <v>79</v>
      </c>
      <c r="G36" s="1" t="s">
        <v>67</v>
      </c>
      <c r="H36" s="4" t="n">
        <f aca="false">VLOOKUP($D36,Size!$A$2:$Z$14,6,0)</f>
        <v>1</v>
      </c>
      <c r="I36" s="13" t="n">
        <f aca="false">INT(($B36*$AZ36*$AX36*$BA36)+($B36*$AY36))</f>
        <v>1</v>
      </c>
      <c r="J36" s="4" t="n">
        <f aca="false">ROUND((($B36*$AT36)+($AV36*$AU36))*$AW36,0)</f>
        <v>1</v>
      </c>
      <c r="K36" s="4" t="n">
        <f aca="false">ROUND((($B36*$AP36)+($B36*$AQ36))*$AS36,0)</f>
        <v>1</v>
      </c>
      <c r="L36" s="4" t="n">
        <f aca="false">ROUND((($B36*$AM36)+($B36*$AN36))*$AO36,0)</f>
        <v>1</v>
      </c>
      <c r="M36" s="4" t="n">
        <f aca="false">ROUND((($B36*$AG36)+($B36*$AH36))*$AI36,0)</f>
        <v>0</v>
      </c>
      <c r="N36" s="4" t="n">
        <f aca="false">ROUND((($B36*$AJ36)+($B36*$AK36))*$AL36,0)</f>
        <v>1</v>
      </c>
      <c r="O36" s="4" t="n">
        <f aca="false">INT($BO36*$B36)</f>
        <v>1</v>
      </c>
      <c r="P36" s="4" t="n">
        <f aca="false">INT($BP36*$B36)</f>
        <v>1</v>
      </c>
      <c r="Q36" s="4" t="n">
        <f aca="false">INT($BQ36*$B36*$AR36)</f>
        <v>0</v>
      </c>
      <c r="R36" s="4" t="n">
        <f aca="false">IF($R$1="WT/G",INT(POWER($BH36*$BJ36*$BI36,0.333333)),0)+IF($R$1="WT/A",INT(($BH36+$BJ36+$BI36)/3),0)+IF($R$1="WT/A2",INT(($BJ36+$BI36)/2),0)+IF($R$1="WT/W",INT(($BH36+$BJ36+$BJ36+$BI36)/4),0)+IF($R$1="WT/W2",INT(($BH36+$BJ36+$BI36+$BI36)/4),0)+IF($R$1="WT/N",INT(MIN($BH36,$BJ36,$BI36)),0)+IF($R$1="WT/M",INT(MAX($BH36,$BJ36,$BI36)),0)+IF($R$1="WT/1",INT($BH36),0)+IF($R$1="WT/2",INT($BI36),0)+IF($R$1="WT/3",INT($BJ36),0)</f>
        <v>12</v>
      </c>
      <c r="S36" s="4" t="n">
        <f aca="false">INT((10+$M36)*$BL36)</f>
        <v>12</v>
      </c>
      <c r="T36" s="4" t="n">
        <f aca="false">INT($I36*$BM36*$BF36)</f>
        <v>0</v>
      </c>
      <c r="U36" s="2" t="n">
        <f aca="false">ROUND(MAX($J36,$L36)+(MIN($J36,$L36)*$X36),0)</f>
        <v>2</v>
      </c>
      <c r="V36" s="2" t="n">
        <f aca="false">MAX(1,INT(((MIN($I36:$J36)+(MAX($I36:$J36)*$H36*$Y36)))*$Z36))</f>
        <v>2</v>
      </c>
      <c r="X36" s="5" t="n">
        <f aca="false">VLOOKUP($E36,Role!$A$2:$O$9,14,0)</f>
        <v>1</v>
      </c>
      <c r="Y36" s="5" t="n">
        <f aca="false">VLOOKUP($E36,Role!$A$2:$O$9,15,0)</f>
        <v>1</v>
      </c>
      <c r="Z36" s="5" t="n">
        <f aca="false">VLOOKUP($G36,Movement!$A$2:$C$7,3,0)</f>
        <v>1</v>
      </c>
      <c r="AB36" s="5" t="n">
        <f aca="false">INT(5+(($H36-1)/3))</f>
        <v>5</v>
      </c>
      <c r="AC36" s="5" t="n">
        <f aca="false">IF($AB36&lt;$I36,$I36-MAX($AB36,$B36),0)</f>
        <v>0</v>
      </c>
      <c r="AD36" s="5" t="n">
        <f aca="false">(5-ROUND(($H36-1)/3,0))</f>
        <v>5</v>
      </c>
      <c r="AE36" s="5" t="n">
        <f aca="false">IF($AD36&lt;$J36,$J36-MAX($AD36,$B36),0)</f>
        <v>0</v>
      </c>
      <c r="AG36" s="6" t="n">
        <f aca="false">VLOOKUP($F36,Category!$A$2:$AZ$20,24,0)</f>
        <v>0</v>
      </c>
      <c r="AH36" s="6" t="n">
        <f aca="false">VLOOKUP($F36,Category!$A$2:$AZ$20,26,0)</f>
        <v>0.333333333333333</v>
      </c>
      <c r="AI36" s="6" t="n">
        <f aca="false">VLOOKUP($E36,Role!$A$2:$O$9,6,0)</f>
        <v>0.666</v>
      </c>
      <c r="AJ36" s="6" t="n">
        <f aca="false">VLOOKUP($F36,Category!$A$2:$AZ$20,19,0)</f>
        <v>0.0909090909090909</v>
      </c>
      <c r="AK36" s="6" t="n">
        <f aca="false">VLOOKUP($F36,Category!$A$2:$AZ$20,21,0)</f>
        <v>0.545454545454545</v>
      </c>
      <c r="AL36" s="6" t="n">
        <f aca="false">VLOOKUP($E36,Role!$A$2:$O$9,7,0)</f>
        <v>0.666</v>
      </c>
      <c r="AM36" s="6" t="n">
        <f aca="false">VLOOKUP($F36,Category!$A$2:$AZ$20,19,0)</f>
        <v>0.0909090909090909</v>
      </c>
      <c r="AN36" s="6" t="n">
        <f aca="false">VLOOKUP($F36,Category!$A$2:$AZ$20,21,0)</f>
        <v>0.545454545454545</v>
      </c>
      <c r="AO36" s="6" t="n">
        <f aca="false">VLOOKUP($E36,Role!$A$2:$O$9,5,0)</f>
        <v>0.666</v>
      </c>
      <c r="AP36" s="6" t="n">
        <f aca="false">VLOOKUP($F36,Category!$A$2:$AZ$20,9,0)</f>
        <v>0</v>
      </c>
      <c r="AQ36" s="6" t="n">
        <f aca="false">VLOOKUP($F36,Category!$A$2:$AZ$20,11,0)</f>
        <v>0.555555555555556</v>
      </c>
      <c r="AR36" s="6" t="n">
        <f aca="false">VLOOKUP($F36,Category!$A$2:$AZ$20,10,0)</f>
        <v>0.555555555555556</v>
      </c>
      <c r="AS36" s="6" t="n">
        <f aca="false">VLOOKUP($E36,Role!$A$2:$O$9,4,0)</f>
        <v>0.666</v>
      </c>
      <c r="AT36" s="7" t="n">
        <f aca="false">VLOOKUP($F36,Category!$A$2:$AZ$20,14,0)</f>
        <v>0.416666666666667</v>
      </c>
      <c r="AU36" s="7" t="n">
        <f aca="false">VLOOKUP($F36,Category!$A$2:$AZ$20,16,0)</f>
        <v>0.25</v>
      </c>
      <c r="AV36" s="7" t="n">
        <f aca="false">VLOOKUP($D36,Size!$A$2:$Z$14,17,0)</f>
        <v>3</v>
      </c>
      <c r="AW36" s="7" t="n">
        <f aca="false">VLOOKUP($E36,Role!$A$2:$O$9,3,0)</f>
        <v>0.666</v>
      </c>
      <c r="AX36" s="7" t="n">
        <f aca="false">VLOOKUP($F36,Category!$A$2:$AZ$20,29,0)</f>
        <v>0.333333333333333</v>
      </c>
      <c r="AY36" s="7" t="n">
        <f aca="false">VLOOKUP($F36,Category!$A$2:$AZ$20,31,0)</f>
        <v>0.333333333333333</v>
      </c>
      <c r="AZ36" s="7" t="n">
        <f aca="false">VLOOKUP($D36,Size!$A$2:$Z$14,16,0)</f>
        <v>3</v>
      </c>
      <c r="BA36" s="7" t="n">
        <f aca="false">VLOOKUP($E36,Role!$A$2:$O$9,2,0)</f>
        <v>0.666</v>
      </c>
      <c r="BC36" s="7" t="n">
        <f aca="false">VLOOKUP($D36,Size!$A$2:$Z$14,19,0)</f>
        <v>10</v>
      </c>
      <c r="BD36" s="7" t="n">
        <f aca="false">VLOOKUP($D36,Size!$A$2:$Z$14,20,0)</f>
        <v>1</v>
      </c>
      <c r="BE36" s="7" t="n">
        <f aca="false">VLOOKUP($E36,Role!$A$2:$O$9,12,0)</f>
        <v>1.25</v>
      </c>
      <c r="BF36" s="7" t="n">
        <f aca="false">VLOOKUP($C36,Type!$A$2:$B$4,2,0)</f>
        <v>1</v>
      </c>
      <c r="BG36" s="7" t="n">
        <f aca="false">VLOOKUP($D36,Size!$A$2:$Z$14,18,0)</f>
        <v>13</v>
      </c>
      <c r="BH36" s="7" t="n">
        <f aca="false">INT($BF36*$BG36*$BE36*$B36/2)</f>
        <v>16</v>
      </c>
      <c r="BI36" s="7" t="n">
        <f aca="false">INT(($BC36*$BF36)+($I36*$BD36))</f>
        <v>11</v>
      </c>
      <c r="BJ36" s="7" t="n">
        <f aca="false">INT((($I36*$BE36)+$BC36)*$BF36)</f>
        <v>11</v>
      </c>
      <c r="BK36" s="14"/>
      <c r="BL36" s="7" t="n">
        <f aca="false">VLOOKUP($E36,Role!$A$2:$O$9,13,0)</f>
        <v>1.25</v>
      </c>
      <c r="BM36" s="7" t="n">
        <f aca="false">VLOOKUP($E36,Role!$A$2:$O$9,11,0)</f>
        <v>0.666</v>
      </c>
      <c r="BO36" s="7" t="n">
        <f aca="false">VLOOKUP($E36,Role!$A$2:$O$9,8,0)</f>
        <v>0.75</v>
      </c>
      <c r="BP36" s="7" t="n">
        <f aca="false">VLOOKUP($E36,Role!$A$2:$O$9,9,0)</f>
        <v>0.75</v>
      </c>
      <c r="BQ36" s="7" t="n">
        <f aca="false">VLOOKUP($E36,Role!$A$2:$O$9,10,0)</f>
        <v>0.5</v>
      </c>
    </row>
    <row r="37" customFormat="false" ht="12.8" hidden="false" customHeight="false" outlineLevel="0" collapsed="false">
      <c r="B37" s="2" t="n">
        <v>2</v>
      </c>
      <c r="C37" s="3" t="s">
        <v>63</v>
      </c>
      <c r="D37" s="1" t="s">
        <v>64</v>
      </c>
      <c r="E37" s="1" t="s">
        <v>70</v>
      </c>
      <c r="F37" s="1" t="s">
        <v>76</v>
      </c>
      <c r="G37" s="1" t="s">
        <v>67</v>
      </c>
      <c r="H37" s="4" t="n">
        <f aca="false">VLOOKUP($D37,Size!$A$2:$Z$14,6,0)</f>
        <v>1</v>
      </c>
      <c r="I37" s="13" t="n">
        <f aca="false">INT(($B37*$AZ37*$AX37*$BA37)+($B37*$AY37))</f>
        <v>2</v>
      </c>
      <c r="J37" s="4" t="n">
        <f aca="false">ROUND((($B37*$AT37)+($AV37*$AU37))*$AW37,0)</f>
        <v>1</v>
      </c>
      <c r="K37" s="4" t="n">
        <f aca="false">ROUND((($B37*$AP37)+($B37*$AQ37))*$AS37,0)</f>
        <v>1</v>
      </c>
      <c r="L37" s="4" t="n">
        <f aca="false">ROUND((($B37*$AM37)+($B37*$AN37))*$AO37,0)</f>
        <v>1</v>
      </c>
      <c r="M37" s="4" t="n">
        <f aca="false">ROUND((($B37*$AG37)+($B37*$AH37))*$AI37,0)</f>
        <v>1</v>
      </c>
      <c r="N37" s="4" t="n">
        <f aca="false">ROUND((($B37*$AJ37)+($B37*$AK37))*$AL37,0)</f>
        <v>1</v>
      </c>
      <c r="O37" s="4" t="n">
        <f aca="false">INT($BO37*$B37)</f>
        <v>1</v>
      </c>
      <c r="P37" s="4" t="n">
        <f aca="false">INT($BP37*$B37)</f>
        <v>1</v>
      </c>
      <c r="Q37" s="4" t="n">
        <f aca="false">INT($BQ37*$B37*$AR37)</f>
        <v>1</v>
      </c>
      <c r="R37" s="4" t="n">
        <f aca="false">IF($R$1="WT/G",INT(POWER($BH37*$BJ37*$BI37,0.333333)),0)+IF($R$1="WT/A",INT(($BH37+$BJ37+$BI37)/3),0)+IF($R$1="WT/A2",INT(($BJ37+$BI37)/2),0)+IF($R$1="WT/W",INT(($BH37+$BJ37+$BJ37+$BI37)/4),0)+IF($R$1="WT/W2",INT(($BH37+$BJ37+$BI37+$BI37)/4),0)+IF($R$1="WT/N",INT(MIN($BH37,$BJ37,$BI37)),0)+IF($R$1="WT/M",INT(MAX($BH37,$BJ37,$BI37)),0)+IF($R$1="WT/1",INT($BH37),0)+IF($R$1="WT/2",INT($BI37),0)+IF($R$1="WT/3",INT($BJ37),0)</f>
        <v>13</v>
      </c>
      <c r="S37" s="4" t="n">
        <f aca="false">INT((10+$M37)*$BL37)</f>
        <v>13</v>
      </c>
      <c r="T37" s="4" t="n">
        <f aca="false">INT($I37*$BM37*$BF37)</f>
        <v>1</v>
      </c>
      <c r="U37" s="2" t="n">
        <f aca="false">ROUND(MAX($J37,$L37)+(MIN($J37,$L37)*$X37),0)</f>
        <v>2</v>
      </c>
      <c r="V37" s="2" t="n">
        <f aca="false">MAX(1,INT(((MIN($I37:$J37)+(MAX($I37:$J37)*$H37*$Y37)))*$Z37))</f>
        <v>3</v>
      </c>
      <c r="X37" s="5" t="n">
        <f aca="false">VLOOKUP($E37,Role!$A$2:$O$9,14,0)</f>
        <v>1</v>
      </c>
      <c r="Y37" s="5" t="n">
        <f aca="false">VLOOKUP($E37,Role!$A$2:$O$9,15,0)</f>
        <v>1</v>
      </c>
      <c r="Z37" s="5" t="n">
        <f aca="false">VLOOKUP($G37,Movement!$A$2:$C$7,3,0)</f>
        <v>1</v>
      </c>
      <c r="AB37" s="5" t="n">
        <f aca="false">INT(5+(($H37-1)/3))</f>
        <v>5</v>
      </c>
      <c r="AC37" s="5" t="n">
        <f aca="false">IF($AB37&lt;$I37,$I37-MAX($AB37,$B37),0)</f>
        <v>0</v>
      </c>
      <c r="AD37" s="5" t="n">
        <f aca="false">(5-ROUND(($H37-1)/3,0))</f>
        <v>5</v>
      </c>
      <c r="AE37" s="5" t="n">
        <f aca="false">IF($AD37&lt;$J37,$J37-MAX($AD37,$B37),0)</f>
        <v>0</v>
      </c>
      <c r="AG37" s="6" t="n">
        <f aca="false">VLOOKUP($F37,Category!$A$2:$AZ$20,24,0)</f>
        <v>0</v>
      </c>
      <c r="AH37" s="6" t="n">
        <f aca="false">VLOOKUP($F37,Category!$A$2:$AZ$20,26,0)</f>
        <v>1.11111111111111</v>
      </c>
      <c r="AI37" s="6" t="n">
        <f aca="false">VLOOKUP($E37,Role!$A$2:$O$9,6,0)</f>
        <v>0.666</v>
      </c>
      <c r="AJ37" s="6" t="n">
        <f aca="false">VLOOKUP($F37,Category!$A$2:$AZ$20,19,0)</f>
        <v>0.363636363636364</v>
      </c>
      <c r="AK37" s="6" t="n">
        <f aca="false">VLOOKUP($F37,Category!$A$2:$AZ$20,21,0)</f>
        <v>0.272727272727273</v>
      </c>
      <c r="AL37" s="6" t="n">
        <f aca="false">VLOOKUP($E37,Role!$A$2:$O$9,7,0)</f>
        <v>0.666</v>
      </c>
      <c r="AM37" s="6" t="n">
        <f aca="false">VLOOKUP($F37,Category!$A$2:$AZ$20,19,0)</f>
        <v>0.363636363636364</v>
      </c>
      <c r="AN37" s="6" t="n">
        <f aca="false">VLOOKUP($F37,Category!$A$2:$AZ$20,21,0)</f>
        <v>0.272727272727273</v>
      </c>
      <c r="AO37" s="6" t="n">
        <f aca="false">VLOOKUP($E37,Role!$A$2:$O$9,5,0)</f>
        <v>0.666</v>
      </c>
      <c r="AP37" s="6" t="n">
        <f aca="false">VLOOKUP($F37,Category!$A$2:$AZ$20,9,0)</f>
        <v>0.444444444444444</v>
      </c>
      <c r="AQ37" s="6" t="n">
        <f aca="false">VLOOKUP($F37,Category!$A$2:$AZ$20,11,0)</f>
        <v>0.666666666666667</v>
      </c>
      <c r="AR37" s="6" t="n">
        <f aca="false">VLOOKUP($F37,Category!$A$2:$AZ$20,10,0)</f>
        <v>1.11111111111111</v>
      </c>
      <c r="AS37" s="6" t="n">
        <f aca="false">VLOOKUP($E37,Role!$A$2:$O$9,4,0)</f>
        <v>0.666</v>
      </c>
      <c r="AT37" s="7" t="n">
        <f aca="false">VLOOKUP($F37,Category!$A$2:$AZ$20,14,0)</f>
        <v>0.333333333333333</v>
      </c>
      <c r="AU37" s="7" t="n">
        <f aca="false">VLOOKUP($F37,Category!$A$2:$AZ$20,16,0)</f>
        <v>0.25</v>
      </c>
      <c r="AV37" s="7" t="n">
        <f aca="false">VLOOKUP($D37,Size!$A$2:$Z$14,17,0)</f>
        <v>3</v>
      </c>
      <c r="AW37" s="7" t="n">
        <f aca="false">VLOOKUP($E37,Role!$A$2:$O$9,3,0)</f>
        <v>0.666</v>
      </c>
      <c r="AX37" s="7" t="n">
        <f aca="false">VLOOKUP($F37,Category!$A$2:$AZ$20,29,0)</f>
        <v>0.333333333333333</v>
      </c>
      <c r="AY37" s="7" t="n">
        <f aca="false">VLOOKUP($F37,Category!$A$2:$AZ$20,31,0)</f>
        <v>0.416666666666667</v>
      </c>
      <c r="AZ37" s="7" t="n">
        <f aca="false">VLOOKUP($D37,Size!$A$2:$Z$14,16,0)</f>
        <v>3</v>
      </c>
      <c r="BA37" s="7" t="n">
        <f aca="false">VLOOKUP($E37,Role!$A$2:$O$9,2,0)</f>
        <v>0.666</v>
      </c>
      <c r="BC37" s="7" t="n">
        <f aca="false">VLOOKUP($D37,Size!$A$2:$Z$14,19,0)</f>
        <v>10</v>
      </c>
      <c r="BD37" s="7" t="n">
        <f aca="false">VLOOKUP($D37,Size!$A$2:$Z$14,20,0)</f>
        <v>1</v>
      </c>
      <c r="BE37" s="7" t="n">
        <f aca="false">VLOOKUP($E37,Role!$A$2:$O$9,12,0)</f>
        <v>1.25</v>
      </c>
      <c r="BF37" s="7" t="n">
        <f aca="false">VLOOKUP($C37,Type!$A$2:$B$4,2,0)</f>
        <v>1</v>
      </c>
      <c r="BG37" s="7" t="n">
        <f aca="false">VLOOKUP($D37,Size!$A$2:$Z$14,18,0)</f>
        <v>13</v>
      </c>
      <c r="BH37" s="7" t="n">
        <f aca="false">INT($BF37*$BG37*$BE37*$B37/2)</f>
        <v>16</v>
      </c>
      <c r="BI37" s="7" t="n">
        <f aca="false">INT(($BC37*$BF37)+($I37*$BD37))</f>
        <v>12</v>
      </c>
      <c r="BJ37" s="7" t="n">
        <f aca="false">INT((($I37*$BE37)+$BC37)*$BF37)</f>
        <v>12</v>
      </c>
      <c r="BK37" s="14"/>
      <c r="BL37" s="7" t="n">
        <f aca="false">VLOOKUP($E37,Role!$A$2:$O$9,13,0)</f>
        <v>1.25</v>
      </c>
      <c r="BM37" s="7" t="n">
        <f aca="false">VLOOKUP($E37,Role!$A$2:$O$9,11,0)</f>
        <v>0.666</v>
      </c>
      <c r="BO37" s="7" t="n">
        <f aca="false">VLOOKUP($E37,Role!$A$2:$O$9,8,0)</f>
        <v>0.75</v>
      </c>
      <c r="BP37" s="7" t="n">
        <f aca="false">VLOOKUP($E37,Role!$A$2:$O$9,9,0)</f>
        <v>0.75</v>
      </c>
      <c r="BQ37" s="7" t="n">
        <f aca="false">VLOOKUP($E37,Role!$A$2:$O$9,10,0)</f>
        <v>0.5</v>
      </c>
    </row>
    <row r="38" customFormat="false" ht="12.8" hidden="false" customHeight="false" outlineLevel="0" collapsed="false">
      <c r="B38" s="2" t="n">
        <v>4</v>
      </c>
      <c r="C38" s="3" t="s">
        <v>63</v>
      </c>
      <c r="D38" s="1" t="s">
        <v>78</v>
      </c>
      <c r="E38" s="1" t="s">
        <v>70</v>
      </c>
      <c r="F38" s="1" t="s">
        <v>76</v>
      </c>
      <c r="G38" s="1" t="s">
        <v>67</v>
      </c>
      <c r="H38" s="4" t="n">
        <f aca="false">VLOOKUP($D38,Size!$A$2:$Z$14,6,0)</f>
        <v>-3</v>
      </c>
      <c r="I38" s="13" t="n">
        <f aca="false">INT(($B38*$AZ38*$AX38*$BA38)+($B38*$AY38))</f>
        <v>2</v>
      </c>
      <c r="J38" s="4" t="n">
        <f aca="false">ROUND((($B38*$AT38)+($AV38*$AU38))*$AW38,0)</f>
        <v>2</v>
      </c>
      <c r="K38" s="4" t="n">
        <f aca="false">ROUND((($B38*$AP38)+($B38*$AQ38))*$AS38,0)</f>
        <v>3</v>
      </c>
      <c r="L38" s="4" t="n">
        <f aca="false">ROUND((($B38*$AM38)+($B38*$AN38))*$AO38,0)</f>
        <v>2</v>
      </c>
      <c r="M38" s="4" t="n">
        <f aca="false">ROUND((($B38*$AG38)+($B38*$AH38))*$AI38,0)</f>
        <v>3</v>
      </c>
      <c r="N38" s="4" t="n">
        <f aca="false">ROUND((($B38*$AJ38)+($B38*$AK38))*$AL38,0)</f>
        <v>2</v>
      </c>
      <c r="O38" s="4" t="n">
        <f aca="false">INT($BO38*$B38)</f>
        <v>3</v>
      </c>
      <c r="P38" s="4" t="n">
        <f aca="false">INT($BP38*$B38)</f>
        <v>3</v>
      </c>
      <c r="Q38" s="4" t="n">
        <f aca="false">INT($BQ38*$B38*$AR38)</f>
        <v>2</v>
      </c>
      <c r="R38" s="4" t="n">
        <f aca="false">IF($R$1="WT/G",INT(POWER($BH38*$BJ38*$BI38,0.333333)),0)+IF($R$1="WT/A",INT(($BH38+$BJ38+$BI38)/3),0)+IF($R$1="WT/A2",INT(($BJ38+$BI38)/2),0)+IF($R$1="WT/W",INT(($BH38+$BJ38+$BJ38+$BI38)/4),0)+IF($R$1="WT/W2",INT(($BH38+$BJ38+$BI38+$BI38)/4),0)+IF($R$1="WT/N",INT(MIN($BH38,$BJ38,$BI38)),0)+IF($R$1="WT/M",INT(MAX($BH38,$BJ38,$BI38)),0)+IF($R$1="WT/1",INT($BH38),0)+IF($R$1="WT/2",INT($BI38),0)+IF($R$1="WT/3",INT($BJ38),0)</f>
        <v>6</v>
      </c>
      <c r="S38" s="4" t="n">
        <f aca="false">INT((10+$M38)*$BL38)</f>
        <v>16</v>
      </c>
      <c r="T38" s="4" t="n">
        <f aca="false">INT($I38*$BM38*$BF38)</f>
        <v>1</v>
      </c>
      <c r="U38" s="2" t="n">
        <f aca="false">ROUND(MAX($J38,$L38)+(MIN($J38,$L38)*$X38),0)</f>
        <v>4</v>
      </c>
      <c r="V38" s="2" t="n">
        <f aca="false">MAX(1,INT(((MIN($I38:$J38)+(MAX($I38:$J38)*$H38*$Y38)))*$Z38))</f>
        <v>1</v>
      </c>
      <c r="X38" s="5" t="n">
        <f aca="false">VLOOKUP($E38,Role!$A$2:$O$9,14,0)</f>
        <v>1</v>
      </c>
      <c r="Y38" s="5" t="n">
        <f aca="false">VLOOKUP($E38,Role!$A$2:$O$9,15,0)</f>
        <v>1</v>
      </c>
      <c r="Z38" s="5" t="n">
        <f aca="false">VLOOKUP($G38,Movement!$A$2:$C$7,3,0)</f>
        <v>1</v>
      </c>
      <c r="AB38" s="5" t="n">
        <f aca="false">INT(5+(($H38-1)/3))</f>
        <v>3</v>
      </c>
      <c r="AC38" s="5" t="n">
        <f aca="false">IF($AB38&lt;$I38,$I38-MAX($AB38,$B38),0)</f>
        <v>0</v>
      </c>
      <c r="AD38" s="5" t="n">
        <f aca="false">(5-ROUND(($H38-1)/3,0))</f>
        <v>6</v>
      </c>
      <c r="AE38" s="5" t="n">
        <f aca="false">IF($AD38&lt;$J38,$J38-MAX($AD38,$B38),0)</f>
        <v>0</v>
      </c>
      <c r="AG38" s="6" t="n">
        <f aca="false">VLOOKUP($F38,Category!$A$2:$AZ$20,24,0)</f>
        <v>0</v>
      </c>
      <c r="AH38" s="6" t="n">
        <f aca="false">VLOOKUP($F38,Category!$A$2:$AZ$20,26,0)</f>
        <v>1.11111111111111</v>
      </c>
      <c r="AI38" s="6" t="n">
        <f aca="false">VLOOKUP($E38,Role!$A$2:$O$9,6,0)</f>
        <v>0.666</v>
      </c>
      <c r="AJ38" s="6" t="n">
        <f aca="false">VLOOKUP($F38,Category!$A$2:$AZ$20,19,0)</f>
        <v>0.363636363636364</v>
      </c>
      <c r="AK38" s="6" t="n">
        <f aca="false">VLOOKUP($F38,Category!$A$2:$AZ$20,21,0)</f>
        <v>0.272727272727273</v>
      </c>
      <c r="AL38" s="6" t="n">
        <f aca="false">VLOOKUP($E38,Role!$A$2:$O$9,7,0)</f>
        <v>0.666</v>
      </c>
      <c r="AM38" s="6" t="n">
        <f aca="false">VLOOKUP($F38,Category!$A$2:$AZ$20,19,0)</f>
        <v>0.363636363636364</v>
      </c>
      <c r="AN38" s="6" t="n">
        <f aca="false">VLOOKUP($F38,Category!$A$2:$AZ$20,21,0)</f>
        <v>0.272727272727273</v>
      </c>
      <c r="AO38" s="6" t="n">
        <f aca="false">VLOOKUP($E38,Role!$A$2:$O$9,5,0)</f>
        <v>0.666</v>
      </c>
      <c r="AP38" s="6" t="n">
        <f aca="false">VLOOKUP($F38,Category!$A$2:$AZ$20,9,0)</f>
        <v>0.444444444444444</v>
      </c>
      <c r="AQ38" s="6" t="n">
        <f aca="false">VLOOKUP($F38,Category!$A$2:$AZ$20,11,0)</f>
        <v>0.666666666666667</v>
      </c>
      <c r="AR38" s="6" t="n">
        <f aca="false">VLOOKUP($F38,Category!$A$2:$AZ$20,10,0)</f>
        <v>1.11111111111111</v>
      </c>
      <c r="AS38" s="6" t="n">
        <f aca="false">VLOOKUP($E38,Role!$A$2:$O$9,4,0)</f>
        <v>0.666</v>
      </c>
      <c r="AT38" s="7" t="n">
        <f aca="false">VLOOKUP($F38,Category!$A$2:$AZ$20,14,0)</f>
        <v>0.333333333333333</v>
      </c>
      <c r="AU38" s="7" t="n">
        <f aca="false">VLOOKUP($F38,Category!$A$2:$AZ$20,16,0)</f>
        <v>0.25</v>
      </c>
      <c r="AV38" s="7" t="n">
        <f aca="false">VLOOKUP($D38,Size!$A$2:$Z$14,17,0)</f>
        <v>4</v>
      </c>
      <c r="AW38" s="7" t="n">
        <f aca="false">VLOOKUP($E38,Role!$A$2:$O$9,3,0)</f>
        <v>0.666</v>
      </c>
      <c r="AX38" s="7" t="n">
        <f aca="false">VLOOKUP($F38,Category!$A$2:$AZ$20,29,0)</f>
        <v>0.333333333333333</v>
      </c>
      <c r="AY38" s="7" t="n">
        <f aca="false">VLOOKUP($F38,Category!$A$2:$AZ$20,31,0)</f>
        <v>0.416666666666667</v>
      </c>
      <c r="AZ38" s="7" t="n">
        <f aca="false">VLOOKUP($D38,Size!$A$2:$Z$14,16,0)</f>
        <v>1</v>
      </c>
      <c r="BA38" s="7" t="n">
        <f aca="false">VLOOKUP($E38,Role!$A$2:$O$9,2,0)</f>
        <v>0.666</v>
      </c>
      <c r="BC38" s="7" t="n">
        <f aca="false">VLOOKUP($D38,Size!$A$2:$Z$14,19,0)</f>
        <v>6</v>
      </c>
      <c r="BD38" s="7" t="n">
        <f aca="false">VLOOKUP($D38,Size!$A$2:$Z$14,20,0)</f>
        <v>0.33</v>
      </c>
      <c r="BE38" s="7" t="n">
        <f aca="false">VLOOKUP($E38,Role!$A$2:$O$9,12,0)</f>
        <v>1.25</v>
      </c>
      <c r="BF38" s="7" t="n">
        <f aca="false">VLOOKUP($C38,Type!$A$2:$B$4,2,0)</f>
        <v>1</v>
      </c>
      <c r="BG38" s="7" t="n">
        <f aca="false">VLOOKUP($D38,Size!$A$2:$Z$14,18,0)</f>
        <v>2.71683715631514</v>
      </c>
      <c r="BH38" s="7" t="n">
        <f aca="false">INT($BF38*$BG38*$BE38*$B38/2)</f>
        <v>6</v>
      </c>
      <c r="BI38" s="7" t="n">
        <f aca="false">INT(($BC38*$BF38)+($I38*$BD38))</f>
        <v>6</v>
      </c>
      <c r="BJ38" s="7" t="n">
        <f aca="false">INT((($I38*$BE38)+$BC38)*$BF38)</f>
        <v>8</v>
      </c>
      <c r="BK38" s="14"/>
      <c r="BL38" s="7" t="n">
        <f aca="false">VLOOKUP($E38,Role!$A$2:$O$9,13,0)</f>
        <v>1.25</v>
      </c>
      <c r="BM38" s="7" t="n">
        <f aca="false">VLOOKUP($E38,Role!$A$2:$O$9,11,0)</f>
        <v>0.666</v>
      </c>
      <c r="BO38" s="7" t="n">
        <f aca="false">VLOOKUP($E38,Role!$A$2:$O$9,8,0)</f>
        <v>0.75</v>
      </c>
      <c r="BP38" s="7" t="n">
        <f aca="false">VLOOKUP($E38,Role!$A$2:$O$9,9,0)</f>
        <v>0.75</v>
      </c>
      <c r="BQ38" s="7" t="n">
        <f aca="false">VLOOKUP($E38,Role!$A$2:$O$9,10,0)</f>
        <v>0.5</v>
      </c>
    </row>
    <row r="39" customFormat="false" ht="12.8" hidden="false" customHeight="false" outlineLevel="0" collapsed="false">
      <c r="B39" s="2" t="n">
        <v>4</v>
      </c>
      <c r="C39" s="3" t="s">
        <v>63</v>
      </c>
      <c r="D39" s="1" t="s">
        <v>81</v>
      </c>
      <c r="E39" s="1" t="s">
        <v>70</v>
      </c>
      <c r="F39" s="1" t="s">
        <v>76</v>
      </c>
      <c r="G39" s="1" t="s">
        <v>67</v>
      </c>
      <c r="H39" s="4" t="n">
        <f aca="false">VLOOKUP($D39,Size!$A$2:$Z$14,6,0)</f>
        <v>-2</v>
      </c>
      <c r="I39" s="13" t="n">
        <f aca="false">INT(($B39*$AZ39*$AX39*$BA39)+($B39*$AY39))</f>
        <v>3</v>
      </c>
      <c r="J39" s="4" t="n">
        <f aca="false">ROUND((($B39*$AT39)+($AV39*$AU39))*$AW39,0)</f>
        <v>1</v>
      </c>
      <c r="K39" s="4" t="n">
        <f aca="false">ROUND((($B39*$AP39)+($B39*$AQ39))*$AS39,0)</f>
        <v>3</v>
      </c>
      <c r="L39" s="4" t="n">
        <f aca="false">ROUND((($B39*$AM39)+($B39*$AN39))*$AO39,0)</f>
        <v>2</v>
      </c>
      <c r="M39" s="4" t="n">
        <f aca="false">ROUND((($B39*$AG39)+($B39*$AH39))*$AI39,0)</f>
        <v>3</v>
      </c>
      <c r="N39" s="4" t="n">
        <f aca="false">ROUND((($B39*$AJ39)+($B39*$AK39))*$AL39,0)</f>
        <v>2</v>
      </c>
      <c r="O39" s="4" t="n">
        <f aca="false">INT($BO39*$B39)</f>
        <v>3</v>
      </c>
      <c r="P39" s="4" t="n">
        <f aca="false">INT($BP39*$B39)</f>
        <v>3</v>
      </c>
      <c r="Q39" s="4" t="n">
        <f aca="false">INT($BQ39*$B39*$AR39)</f>
        <v>2</v>
      </c>
      <c r="R39" s="4" t="n">
        <f aca="false">IF($R$1="WT/G",INT(POWER($BH39*$BJ39*$BI39,0.333333)),0)+IF($R$1="WT/A",INT(($BH39+$BJ39+$BI39)/3),0)+IF($R$1="WT/A2",INT(($BJ39+$BI39)/2),0)+IF($R$1="WT/W",INT(($BH39+$BJ39+$BJ39+$BI39)/4),0)+IF($R$1="WT/W2",INT(($BH39+$BJ39+$BI39+$BI39)/4),0)+IF($R$1="WT/N",INT(MIN($BH39,$BJ39,$BI39)),0)+IF($R$1="WT/M",INT(MAX($BH39,$BJ39,$BI39)),0)+IF($R$1="WT/1",INT($BH39),0)+IF($R$1="WT/2",INT($BI39),0)+IF($R$1="WT/3",INT($BJ39),0)</f>
        <v>10</v>
      </c>
      <c r="S39" s="4" t="n">
        <f aca="false">INT((10+$M39)*$BL39)</f>
        <v>16</v>
      </c>
      <c r="T39" s="4" t="n">
        <f aca="false">INT($I39*$BM39*$BF39)</f>
        <v>1</v>
      </c>
      <c r="U39" s="2" t="n">
        <f aca="false">ROUND(MAX($J39,$L39)+(MIN($J39,$L39)*$X39),0)</f>
        <v>3</v>
      </c>
      <c r="V39" s="2" t="n">
        <f aca="false">MAX(1,INT(((MIN($I39:$J39)+(MAX($I39:$J39)*$H39*$Y39)))*$Z39))</f>
        <v>1</v>
      </c>
      <c r="X39" s="5" t="n">
        <f aca="false">VLOOKUP($E39,Role!$A$2:$O$9,14,0)</f>
        <v>1</v>
      </c>
      <c r="Y39" s="5" t="n">
        <f aca="false">VLOOKUP($E39,Role!$A$2:$O$9,15,0)</f>
        <v>1</v>
      </c>
      <c r="Z39" s="5" t="n">
        <f aca="false">VLOOKUP($G39,Movement!$A$2:$C$7,3,0)</f>
        <v>1</v>
      </c>
      <c r="AB39" s="5" t="n">
        <f aca="false">INT(5+(($H39-1)/3))</f>
        <v>4</v>
      </c>
      <c r="AC39" s="5" t="n">
        <f aca="false">IF($AB39&lt;$I39,$I39-MAX($AB39,$B39),0)</f>
        <v>0</v>
      </c>
      <c r="AD39" s="5" t="n">
        <f aca="false">(5-ROUND(($H39-1)/3,0))</f>
        <v>6</v>
      </c>
      <c r="AE39" s="5" t="n">
        <f aca="false">IF($AD39&lt;$J39,$J39-MAX($AD39,$B39),0)</f>
        <v>0</v>
      </c>
      <c r="AG39" s="6" t="n">
        <f aca="false">VLOOKUP($F39,Category!$A$2:$AZ$20,24,0)</f>
        <v>0</v>
      </c>
      <c r="AH39" s="6" t="n">
        <f aca="false">VLOOKUP($F39,Category!$A$2:$AZ$20,26,0)</f>
        <v>1.11111111111111</v>
      </c>
      <c r="AI39" s="6" t="n">
        <f aca="false">VLOOKUP($E39,Role!$A$2:$O$9,6,0)</f>
        <v>0.666</v>
      </c>
      <c r="AJ39" s="6" t="n">
        <f aca="false">VLOOKUP($F39,Category!$A$2:$AZ$20,19,0)</f>
        <v>0.363636363636364</v>
      </c>
      <c r="AK39" s="6" t="n">
        <f aca="false">VLOOKUP($F39,Category!$A$2:$AZ$20,21,0)</f>
        <v>0.272727272727273</v>
      </c>
      <c r="AL39" s="6" t="n">
        <f aca="false">VLOOKUP($E39,Role!$A$2:$O$9,7,0)</f>
        <v>0.666</v>
      </c>
      <c r="AM39" s="6" t="n">
        <f aca="false">VLOOKUP($F39,Category!$A$2:$AZ$20,19,0)</f>
        <v>0.363636363636364</v>
      </c>
      <c r="AN39" s="6" t="n">
        <f aca="false">VLOOKUP($F39,Category!$A$2:$AZ$20,21,0)</f>
        <v>0.272727272727273</v>
      </c>
      <c r="AO39" s="6" t="n">
        <f aca="false">VLOOKUP($E39,Role!$A$2:$O$9,5,0)</f>
        <v>0.666</v>
      </c>
      <c r="AP39" s="6" t="n">
        <f aca="false">VLOOKUP($F39,Category!$A$2:$AZ$20,9,0)</f>
        <v>0.444444444444444</v>
      </c>
      <c r="AQ39" s="6" t="n">
        <f aca="false">VLOOKUP($F39,Category!$A$2:$AZ$20,11,0)</f>
        <v>0.666666666666667</v>
      </c>
      <c r="AR39" s="6" t="n">
        <f aca="false">VLOOKUP($F39,Category!$A$2:$AZ$20,10,0)</f>
        <v>1.11111111111111</v>
      </c>
      <c r="AS39" s="6" t="n">
        <f aca="false">VLOOKUP($E39,Role!$A$2:$O$9,4,0)</f>
        <v>0.666</v>
      </c>
      <c r="AT39" s="7" t="n">
        <f aca="false">VLOOKUP($F39,Category!$A$2:$AZ$20,14,0)</f>
        <v>0.333333333333333</v>
      </c>
      <c r="AU39" s="7" t="n">
        <f aca="false">VLOOKUP($F39,Category!$A$2:$AZ$20,16,0)</f>
        <v>0.25</v>
      </c>
      <c r="AV39" s="7" t="n">
        <f aca="false">VLOOKUP($D39,Size!$A$2:$Z$14,17,0)</f>
        <v>3</v>
      </c>
      <c r="AW39" s="7" t="n">
        <f aca="false">VLOOKUP($E39,Role!$A$2:$O$9,3,0)</f>
        <v>0.666</v>
      </c>
      <c r="AX39" s="7" t="n">
        <f aca="false">VLOOKUP($F39,Category!$A$2:$AZ$20,29,0)</f>
        <v>0.333333333333333</v>
      </c>
      <c r="AY39" s="7" t="n">
        <f aca="false">VLOOKUP($F39,Category!$A$2:$AZ$20,31,0)</f>
        <v>0.416666666666667</v>
      </c>
      <c r="AZ39" s="7" t="n">
        <f aca="false">VLOOKUP($D39,Size!$A$2:$Z$14,16,0)</f>
        <v>2</v>
      </c>
      <c r="BA39" s="7" t="n">
        <f aca="false">VLOOKUP($E39,Role!$A$2:$O$9,2,0)</f>
        <v>0.666</v>
      </c>
      <c r="BC39" s="7" t="n">
        <f aca="false">VLOOKUP($D39,Size!$A$2:$Z$14,19,0)</f>
        <v>7</v>
      </c>
      <c r="BD39" s="7" t="n">
        <f aca="false">VLOOKUP($D39,Size!$A$2:$Z$14,20,0)</f>
        <v>0.5</v>
      </c>
      <c r="BE39" s="7" t="n">
        <f aca="false">VLOOKUP($E39,Role!$A$2:$O$9,12,0)</f>
        <v>1.25</v>
      </c>
      <c r="BF39" s="7" t="n">
        <f aca="false">VLOOKUP($C39,Type!$A$2:$B$4,2,0)</f>
        <v>1</v>
      </c>
      <c r="BG39" s="7" t="n">
        <f aca="false">VLOOKUP($D39,Size!$A$2:$Z$14,18,0)</f>
        <v>6.5643914849257</v>
      </c>
      <c r="BH39" s="7" t="n">
        <f aca="false">INT($BF39*$BG39*$BE39*$B39/2)</f>
        <v>16</v>
      </c>
      <c r="BI39" s="7" t="n">
        <f aca="false">INT(($BC39*$BF39)+($I39*$BD39))</f>
        <v>8</v>
      </c>
      <c r="BJ39" s="7" t="n">
        <f aca="false">INT((($I39*$BE39)+$BC39)*$BF39)</f>
        <v>10</v>
      </c>
      <c r="BK39" s="14"/>
      <c r="BL39" s="7" t="n">
        <f aca="false">VLOOKUP($E39,Role!$A$2:$O$9,13,0)</f>
        <v>1.25</v>
      </c>
      <c r="BM39" s="7" t="n">
        <f aca="false">VLOOKUP($E39,Role!$A$2:$O$9,11,0)</f>
        <v>0.666</v>
      </c>
      <c r="BO39" s="7" t="n">
        <f aca="false">VLOOKUP($E39,Role!$A$2:$O$9,8,0)</f>
        <v>0.75</v>
      </c>
      <c r="BP39" s="7" t="n">
        <f aca="false">VLOOKUP($E39,Role!$A$2:$O$9,9,0)</f>
        <v>0.75</v>
      </c>
      <c r="BQ39" s="7" t="n">
        <f aca="false">VLOOKUP($E39,Role!$A$2:$O$9,10,0)</f>
        <v>0.5</v>
      </c>
    </row>
    <row r="40" customFormat="false" ht="12.8" hidden="false" customHeight="false" outlineLevel="0" collapsed="false">
      <c r="B40" s="2" t="n">
        <v>4</v>
      </c>
      <c r="C40" s="3" t="s">
        <v>63</v>
      </c>
      <c r="D40" s="1" t="s">
        <v>82</v>
      </c>
      <c r="E40" s="1" t="s">
        <v>70</v>
      </c>
      <c r="F40" s="1" t="s">
        <v>76</v>
      </c>
      <c r="G40" s="1" t="s">
        <v>67</v>
      </c>
      <c r="H40" s="4" t="n">
        <f aca="false">VLOOKUP($D40,Size!$A$2:$Z$14,6,0)</f>
        <v>-1</v>
      </c>
      <c r="I40" s="13" t="n">
        <f aca="false">INT(($B40*$AZ40*$AX40*$BA40)+($B40*$AY40))</f>
        <v>3</v>
      </c>
      <c r="J40" s="4" t="n">
        <f aca="false">ROUND((($B40*$AT40)+($AV40*$AU40))*$AW40,0)</f>
        <v>1</v>
      </c>
      <c r="K40" s="4" t="n">
        <f aca="false">ROUND((($B40*$AP40)+($B40*$AQ40))*$AS40,0)</f>
        <v>3</v>
      </c>
      <c r="L40" s="4" t="n">
        <f aca="false">ROUND((($B40*$AM40)+($B40*$AN40))*$AO40,0)</f>
        <v>2</v>
      </c>
      <c r="M40" s="4" t="n">
        <f aca="false">ROUND((($B40*$AG40)+($B40*$AH40))*$AI40,0)</f>
        <v>3</v>
      </c>
      <c r="N40" s="4" t="n">
        <f aca="false">ROUND((($B40*$AJ40)+($B40*$AK40))*$AL40,0)</f>
        <v>2</v>
      </c>
      <c r="O40" s="4" t="n">
        <f aca="false">INT($BO40*$B40)</f>
        <v>3</v>
      </c>
      <c r="P40" s="4" t="n">
        <f aca="false">INT($BP40*$B40)</f>
        <v>3</v>
      </c>
      <c r="Q40" s="4" t="n">
        <f aca="false">INT($BQ40*$B40*$AR40)</f>
        <v>2</v>
      </c>
      <c r="R40" s="4" t="n">
        <f aca="false">IF($R$1="WT/G",INT(POWER($BH40*$BJ40*$BI40,0.333333)),0)+IF($R$1="WT/A",INT(($BH40+$BJ40+$BI40)/3),0)+IF($R$1="WT/A2",INT(($BJ40+$BI40)/2),0)+IF($R$1="WT/W",INT(($BH40+$BJ40+$BJ40+$BI40)/4),0)+IF($R$1="WT/W2",INT(($BH40+$BJ40+$BI40+$BI40)/4),0)+IF($R$1="WT/N",INT(MIN($BH40,$BJ40,$BI40)),0)+IF($R$1="WT/M",INT(MAX($BH40,$BJ40,$BI40)),0)+IF($R$1="WT/1",INT($BH40),0)+IF($R$1="WT/2",INT($BI40),0)+IF($R$1="WT/3",INT($BJ40),0)</f>
        <v>12</v>
      </c>
      <c r="S40" s="4" t="n">
        <f aca="false">INT((10+$M40)*$BL40)</f>
        <v>16</v>
      </c>
      <c r="T40" s="4" t="n">
        <f aca="false">INT($I40*$BM40*$BF40)</f>
        <v>1</v>
      </c>
      <c r="U40" s="2" t="n">
        <f aca="false">ROUND(MAX($J40,$L40)+(MIN($J40,$L40)*$X40),0)</f>
        <v>3</v>
      </c>
      <c r="V40" s="2" t="n">
        <f aca="false">MAX(1,INT(((MIN($I40:$J40)+(MAX($I40:$J40)*$H40*$Y40)))*$Z40))</f>
        <v>1</v>
      </c>
      <c r="X40" s="5" t="n">
        <f aca="false">VLOOKUP($E40,Role!$A$2:$O$9,14,0)</f>
        <v>1</v>
      </c>
      <c r="Y40" s="5" t="n">
        <f aca="false">VLOOKUP($E40,Role!$A$2:$O$9,15,0)</f>
        <v>1</v>
      </c>
      <c r="Z40" s="5" t="n">
        <f aca="false">VLOOKUP($G40,Movement!$A$2:$C$7,3,0)</f>
        <v>1</v>
      </c>
      <c r="AB40" s="5" t="n">
        <f aca="false">INT(5+(($H40-1)/3))</f>
        <v>4</v>
      </c>
      <c r="AC40" s="5" t="n">
        <f aca="false">IF($AB40&lt;$I40,$I40-MAX($AB40,$B40),0)</f>
        <v>0</v>
      </c>
      <c r="AD40" s="5" t="n">
        <f aca="false">(5-ROUND(($H40-1)/3,0))</f>
        <v>6</v>
      </c>
      <c r="AE40" s="5" t="n">
        <f aca="false">IF($AD40&lt;$J40,$J40-MAX($AD40,$B40),0)</f>
        <v>0</v>
      </c>
      <c r="AG40" s="6" t="n">
        <f aca="false">VLOOKUP($F40,Category!$A$2:$AZ$20,24,0)</f>
        <v>0</v>
      </c>
      <c r="AH40" s="6" t="n">
        <f aca="false">VLOOKUP($F40,Category!$A$2:$AZ$20,26,0)</f>
        <v>1.11111111111111</v>
      </c>
      <c r="AI40" s="6" t="n">
        <f aca="false">VLOOKUP($E40,Role!$A$2:$O$9,6,0)</f>
        <v>0.666</v>
      </c>
      <c r="AJ40" s="6" t="n">
        <f aca="false">VLOOKUP($F40,Category!$A$2:$AZ$20,19,0)</f>
        <v>0.363636363636364</v>
      </c>
      <c r="AK40" s="6" t="n">
        <f aca="false">VLOOKUP($F40,Category!$A$2:$AZ$20,21,0)</f>
        <v>0.272727272727273</v>
      </c>
      <c r="AL40" s="6" t="n">
        <f aca="false">VLOOKUP($E40,Role!$A$2:$O$9,7,0)</f>
        <v>0.666</v>
      </c>
      <c r="AM40" s="6" t="n">
        <f aca="false">VLOOKUP($F40,Category!$A$2:$AZ$20,19,0)</f>
        <v>0.363636363636364</v>
      </c>
      <c r="AN40" s="6" t="n">
        <f aca="false">VLOOKUP($F40,Category!$A$2:$AZ$20,21,0)</f>
        <v>0.272727272727273</v>
      </c>
      <c r="AO40" s="6" t="n">
        <f aca="false">VLOOKUP($E40,Role!$A$2:$O$9,5,0)</f>
        <v>0.666</v>
      </c>
      <c r="AP40" s="6" t="n">
        <f aca="false">VLOOKUP($F40,Category!$A$2:$AZ$20,9,0)</f>
        <v>0.444444444444444</v>
      </c>
      <c r="AQ40" s="6" t="n">
        <f aca="false">VLOOKUP($F40,Category!$A$2:$AZ$20,11,0)</f>
        <v>0.666666666666667</v>
      </c>
      <c r="AR40" s="6" t="n">
        <f aca="false">VLOOKUP($F40,Category!$A$2:$AZ$20,10,0)</f>
        <v>1.11111111111111</v>
      </c>
      <c r="AS40" s="6" t="n">
        <f aca="false">VLOOKUP($E40,Role!$A$2:$O$9,4,0)</f>
        <v>0.666</v>
      </c>
      <c r="AT40" s="7" t="n">
        <f aca="false">VLOOKUP($F40,Category!$A$2:$AZ$20,14,0)</f>
        <v>0.333333333333333</v>
      </c>
      <c r="AU40" s="7" t="n">
        <f aca="false">VLOOKUP($F40,Category!$A$2:$AZ$20,16,0)</f>
        <v>0.25</v>
      </c>
      <c r="AV40" s="7" t="n">
        <f aca="false">VLOOKUP($D40,Size!$A$2:$Z$14,17,0)</f>
        <v>3</v>
      </c>
      <c r="AW40" s="7" t="n">
        <f aca="false">VLOOKUP($E40,Role!$A$2:$O$9,3,0)</f>
        <v>0.666</v>
      </c>
      <c r="AX40" s="7" t="n">
        <f aca="false">VLOOKUP($F40,Category!$A$2:$AZ$20,29,0)</f>
        <v>0.333333333333333</v>
      </c>
      <c r="AY40" s="7" t="n">
        <f aca="false">VLOOKUP($F40,Category!$A$2:$AZ$20,31,0)</f>
        <v>0.416666666666667</v>
      </c>
      <c r="AZ40" s="7" t="n">
        <f aca="false">VLOOKUP($D40,Size!$A$2:$Z$14,16,0)</f>
        <v>2</v>
      </c>
      <c r="BA40" s="7" t="n">
        <f aca="false">VLOOKUP($E40,Role!$A$2:$O$9,2,0)</f>
        <v>0.666</v>
      </c>
      <c r="BC40" s="7" t="n">
        <f aca="false">VLOOKUP($D40,Size!$A$2:$Z$14,19,0)</f>
        <v>8</v>
      </c>
      <c r="BD40" s="7" t="n">
        <f aca="false">VLOOKUP($D40,Size!$A$2:$Z$14,20,0)</f>
        <v>0.66</v>
      </c>
      <c r="BE40" s="7" t="n">
        <f aca="false">VLOOKUP($E40,Role!$A$2:$O$9,12,0)</f>
        <v>1.25</v>
      </c>
      <c r="BF40" s="7" t="n">
        <f aca="false">VLOOKUP($C40,Type!$A$2:$B$4,2,0)</f>
        <v>1</v>
      </c>
      <c r="BG40" s="7" t="n">
        <f aca="false">VLOOKUP($D40,Size!$A$2:$Z$14,18,0)</f>
        <v>8.28567304322775</v>
      </c>
      <c r="BH40" s="7" t="n">
        <f aca="false">INT($BF40*$BG40*$BE40*$B40/2)</f>
        <v>20</v>
      </c>
      <c r="BI40" s="7" t="n">
        <f aca="false">INT(($BC40*$BF40)+($I40*$BD40))</f>
        <v>9</v>
      </c>
      <c r="BJ40" s="7" t="n">
        <f aca="false">INT((($I40*$BE40)+$BC40)*$BF40)</f>
        <v>11</v>
      </c>
      <c r="BK40" s="14"/>
      <c r="BL40" s="7" t="n">
        <f aca="false">VLOOKUP($E40,Role!$A$2:$O$9,13,0)</f>
        <v>1.25</v>
      </c>
      <c r="BM40" s="7" t="n">
        <f aca="false">VLOOKUP($E40,Role!$A$2:$O$9,11,0)</f>
        <v>0.666</v>
      </c>
      <c r="BO40" s="7" t="n">
        <f aca="false">VLOOKUP($E40,Role!$A$2:$O$9,8,0)</f>
        <v>0.75</v>
      </c>
      <c r="BP40" s="7" t="n">
        <f aca="false">VLOOKUP($E40,Role!$A$2:$O$9,9,0)</f>
        <v>0.75</v>
      </c>
      <c r="BQ40" s="7" t="n">
        <f aca="false">VLOOKUP($E40,Role!$A$2:$O$9,10,0)</f>
        <v>0.5</v>
      </c>
    </row>
    <row r="41" customFormat="false" ht="12.8" hidden="false" customHeight="false" outlineLevel="0" collapsed="false">
      <c r="B41" s="2" t="n">
        <v>4</v>
      </c>
      <c r="C41" s="3" t="s">
        <v>63</v>
      </c>
      <c r="D41" s="1" t="s">
        <v>83</v>
      </c>
      <c r="E41" s="1" t="s">
        <v>70</v>
      </c>
      <c r="F41" s="1" t="s">
        <v>76</v>
      </c>
      <c r="G41" s="1" t="s">
        <v>67</v>
      </c>
      <c r="H41" s="4" t="n">
        <f aca="false">VLOOKUP($D41,Size!$A$2:$Z$14,6,0)</f>
        <v>0</v>
      </c>
      <c r="I41" s="13" t="n">
        <f aca="false">INT(($B41*$AZ41*$AX41*$BA41)+($B41*$AY41))</f>
        <v>3</v>
      </c>
      <c r="J41" s="4" t="n">
        <f aca="false">ROUND((($B41*$AT41)+($AV41*$AU41))*$AW41,0)</f>
        <v>1</v>
      </c>
      <c r="K41" s="4" t="n">
        <f aca="false">ROUND((($B41*$AP41)+($B41*$AQ41))*$AS41,0)</f>
        <v>3</v>
      </c>
      <c r="L41" s="4" t="n">
        <f aca="false">ROUND((($B41*$AM41)+($B41*$AN41))*$AO41,0)</f>
        <v>2</v>
      </c>
      <c r="M41" s="4" t="n">
        <f aca="false">ROUND((($B41*$AG41)+($B41*$AH41))*$AI41,0)</f>
        <v>3</v>
      </c>
      <c r="N41" s="4" t="n">
        <f aca="false">ROUND((($B41*$AJ41)+($B41*$AK41))*$AL41,0)</f>
        <v>2</v>
      </c>
      <c r="O41" s="4" t="n">
        <f aca="false">INT($BO41*$B41)</f>
        <v>3</v>
      </c>
      <c r="P41" s="4" t="n">
        <f aca="false">INT($BP41*$B41)</f>
        <v>3</v>
      </c>
      <c r="Q41" s="4" t="n">
        <f aca="false">INT($BQ41*$B41*$AR41)</f>
        <v>2</v>
      </c>
      <c r="R41" s="4" t="n">
        <f aca="false">IF($R$1="WT/G",INT(POWER($BH41*$BJ41*$BI41,0.333333)),0)+IF($R$1="WT/A",INT(($BH41+$BJ41+$BI41)/3),0)+IF($R$1="WT/A2",INT(($BJ41+$BI41)/2),0)+IF($R$1="WT/W",INT(($BH41+$BJ41+$BJ41+$BI41)/4),0)+IF($R$1="WT/W2",INT(($BH41+$BJ41+$BI41+$BI41)/4),0)+IF($R$1="WT/N",INT(MIN($BH41,$BJ41,$BI41)),0)+IF($R$1="WT/M",INT(MAX($BH41,$BJ41,$BI41)),0)+IF($R$1="WT/1",INT($BH41),0)+IF($R$1="WT/2",INT($BI41),0)+IF($R$1="WT/3",INT($BJ41),0)</f>
        <v>14</v>
      </c>
      <c r="S41" s="4" t="n">
        <f aca="false">INT((10+$M41)*$BL41)</f>
        <v>16</v>
      </c>
      <c r="T41" s="4" t="n">
        <f aca="false">INT($I41*$BM41*$BF41)</f>
        <v>1</v>
      </c>
      <c r="U41" s="2" t="n">
        <f aca="false">ROUND(MAX($J41,$L41)+(MIN($J41,$L41)*$X41),0)</f>
        <v>3</v>
      </c>
      <c r="V41" s="2" t="n">
        <f aca="false">MAX(1,INT(((MIN($I41:$J41)+(MAX($I41:$J41)*$H41*$Y41)))*$Z41))</f>
        <v>1</v>
      </c>
      <c r="X41" s="5" t="n">
        <f aca="false">VLOOKUP($E41,Role!$A$2:$O$9,14,0)</f>
        <v>1</v>
      </c>
      <c r="Y41" s="5" t="n">
        <f aca="false">VLOOKUP($E41,Role!$A$2:$O$9,15,0)</f>
        <v>1</v>
      </c>
      <c r="Z41" s="5" t="n">
        <f aca="false">VLOOKUP($G41,Movement!$A$2:$C$7,3,0)</f>
        <v>1</v>
      </c>
      <c r="AB41" s="5" t="n">
        <f aca="false">INT(5+(($H41-1)/3))</f>
        <v>4</v>
      </c>
      <c r="AC41" s="5" t="n">
        <f aca="false">IF($AB41&lt;$I41,$I41-MAX($AB41,$B41),0)</f>
        <v>0</v>
      </c>
      <c r="AD41" s="5" t="n">
        <f aca="false">(5-ROUND(($H41-1)/3,0))</f>
        <v>5</v>
      </c>
      <c r="AE41" s="5" t="n">
        <f aca="false">IF($AD41&lt;$J41,$J41-MAX($AD41,$B41),0)</f>
        <v>0</v>
      </c>
      <c r="AG41" s="6" t="n">
        <f aca="false">VLOOKUP($F41,Category!$A$2:$AZ$20,24,0)</f>
        <v>0</v>
      </c>
      <c r="AH41" s="6" t="n">
        <f aca="false">VLOOKUP($F41,Category!$A$2:$AZ$20,26,0)</f>
        <v>1.11111111111111</v>
      </c>
      <c r="AI41" s="6" t="n">
        <f aca="false">VLOOKUP($E41,Role!$A$2:$O$9,6,0)</f>
        <v>0.666</v>
      </c>
      <c r="AJ41" s="6" t="n">
        <f aca="false">VLOOKUP($F41,Category!$A$2:$AZ$20,19,0)</f>
        <v>0.363636363636364</v>
      </c>
      <c r="AK41" s="6" t="n">
        <f aca="false">VLOOKUP($F41,Category!$A$2:$AZ$20,21,0)</f>
        <v>0.272727272727273</v>
      </c>
      <c r="AL41" s="6" t="n">
        <f aca="false">VLOOKUP($E41,Role!$A$2:$O$9,7,0)</f>
        <v>0.666</v>
      </c>
      <c r="AM41" s="6" t="n">
        <f aca="false">VLOOKUP($F41,Category!$A$2:$AZ$20,19,0)</f>
        <v>0.363636363636364</v>
      </c>
      <c r="AN41" s="6" t="n">
        <f aca="false">VLOOKUP($F41,Category!$A$2:$AZ$20,21,0)</f>
        <v>0.272727272727273</v>
      </c>
      <c r="AO41" s="6" t="n">
        <f aca="false">VLOOKUP($E41,Role!$A$2:$O$9,5,0)</f>
        <v>0.666</v>
      </c>
      <c r="AP41" s="6" t="n">
        <f aca="false">VLOOKUP($F41,Category!$A$2:$AZ$20,9,0)</f>
        <v>0.444444444444444</v>
      </c>
      <c r="AQ41" s="6" t="n">
        <f aca="false">VLOOKUP($F41,Category!$A$2:$AZ$20,11,0)</f>
        <v>0.666666666666667</v>
      </c>
      <c r="AR41" s="6" t="n">
        <f aca="false">VLOOKUP($F41,Category!$A$2:$AZ$20,10,0)</f>
        <v>1.11111111111111</v>
      </c>
      <c r="AS41" s="6" t="n">
        <f aca="false">VLOOKUP($E41,Role!$A$2:$O$9,4,0)</f>
        <v>0.666</v>
      </c>
      <c r="AT41" s="7" t="n">
        <f aca="false">VLOOKUP($F41,Category!$A$2:$AZ$20,14,0)</f>
        <v>0.333333333333333</v>
      </c>
      <c r="AU41" s="7" t="n">
        <f aca="false">VLOOKUP($F41,Category!$A$2:$AZ$20,16,0)</f>
        <v>0.25</v>
      </c>
      <c r="AV41" s="7" t="n">
        <f aca="false">VLOOKUP($D41,Size!$A$2:$Z$14,17,0)</f>
        <v>3</v>
      </c>
      <c r="AW41" s="7" t="n">
        <f aca="false">VLOOKUP($E41,Role!$A$2:$O$9,3,0)</f>
        <v>0.666</v>
      </c>
      <c r="AX41" s="7" t="n">
        <f aca="false">VLOOKUP($F41,Category!$A$2:$AZ$20,29,0)</f>
        <v>0.333333333333333</v>
      </c>
      <c r="AY41" s="7" t="n">
        <f aca="false">VLOOKUP($F41,Category!$A$2:$AZ$20,31,0)</f>
        <v>0.416666666666667</v>
      </c>
      <c r="AZ41" s="7" t="n">
        <f aca="false">VLOOKUP($D41,Size!$A$2:$Z$14,16,0)</f>
        <v>2</v>
      </c>
      <c r="BA41" s="7" t="n">
        <f aca="false">VLOOKUP($E41,Role!$A$2:$O$9,2,0)</f>
        <v>0.666</v>
      </c>
      <c r="BC41" s="7" t="n">
        <f aca="false">VLOOKUP($D41,Size!$A$2:$Z$14,19,0)</f>
        <v>9</v>
      </c>
      <c r="BD41" s="7" t="n">
        <f aca="false">VLOOKUP($D41,Size!$A$2:$Z$14,20,0)</f>
        <v>0.75</v>
      </c>
      <c r="BE41" s="7" t="n">
        <f aca="false">VLOOKUP($E41,Role!$A$2:$O$9,12,0)</f>
        <v>1.25</v>
      </c>
      <c r="BF41" s="7" t="n">
        <f aca="false">VLOOKUP($C41,Type!$A$2:$B$4,2,0)</f>
        <v>1</v>
      </c>
      <c r="BG41" s="7" t="n">
        <f aca="false">VLOOKUP($D41,Size!$A$2:$Z$14,18,0)</f>
        <v>10.0928271821888</v>
      </c>
      <c r="BH41" s="7" t="n">
        <f aca="false">INT($BF41*$BG41*$BE41*$B41/2)</f>
        <v>25</v>
      </c>
      <c r="BI41" s="7" t="n">
        <f aca="false">INT(($BC41*$BF41)+($I41*$BD41))</f>
        <v>11</v>
      </c>
      <c r="BJ41" s="7" t="n">
        <f aca="false">INT((($I41*$BE41)+$BC41)*$BF41)</f>
        <v>12</v>
      </c>
      <c r="BK41" s="14"/>
      <c r="BL41" s="7" t="n">
        <f aca="false">VLOOKUP($E41,Role!$A$2:$O$9,13,0)</f>
        <v>1.25</v>
      </c>
      <c r="BM41" s="7" t="n">
        <f aca="false">VLOOKUP($E41,Role!$A$2:$O$9,11,0)</f>
        <v>0.666</v>
      </c>
      <c r="BO41" s="7" t="n">
        <f aca="false">VLOOKUP($E41,Role!$A$2:$O$9,8,0)</f>
        <v>0.75</v>
      </c>
      <c r="BP41" s="7" t="n">
        <f aca="false">VLOOKUP($E41,Role!$A$2:$O$9,9,0)</f>
        <v>0.75</v>
      </c>
      <c r="BQ41" s="7" t="n">
        <f aca="false">VLOOKUP($E41,Role!$A$2:$O$9,10,0)</f>
        <v>0.5</v>
      </c>
    </row>
    <row r="42" customFormat="false" ht="12.8" hidden="false" customHeight="false" outlineLevel="0" collapsed="false">
      <c r="B42" s="2" t="n">
        <v>4</v>
      </c>
      <c r="C42" s="3" t="s">
        <v>63</v>
      </c>
      <c r="D42" s="1" t="s">
        <v>64</v>
      </c>
      <c r="E42" s="1" t="s">
        <v>70</v>
      </c>
      <c r="F42" s="1" t="s">
        <v>76</v>
      </c>
      <c r="G42" s="1" t="s">
        <v>67</v>
      </c>
      <c r="H42" s="4" t="n">
        <f aca="false">VLOOKUP($D42,Size!$A$2:$Z$14,6,0)</f>
        <v>1</v>
      </c>
      <c r="I42" s="13" t="n">
        <f aca="false">INT(($B42*$AZ42*$AX42*$BA42)+($B42*$AY42))</f>
        <v>4</v>
      </c>
      <c r="J42" s="4" t="n">
        <f aca="false">ROUND((($B42*$AT42)+($AV42*$AU42))*$AW42,0)</f>
        <v>1</v>
      </c>
      <c r="K42" s="4" t="n">
        <f aca="false">ROUND((($B42*$AP42)+($B42*$AQ42))*$AS42,0)</f>
        <v>3</v>
      </c>
      <c r="L42" s="4" t="n">
        <f aca="false">ROUND((($B42*$AM42)+($B42*$AN42))*$AO42,0)</f>
        <v>2</v>
      </c>
      <c r="M42" s="4" t="n">
        <f aca="false">ROUND((($B42*$AG42)+($B42*$AH42))*$AI42,0)</f>
        <v>3</v>
      </c>
      <c r="N42" s="4" t="n">
        <f aca="false">ROUND((($B42*$AJ42)+($B42*$AK42))*$AL42,0)</f>
        <v>2</v>
      </c>
      <c r="O42" s="4" t="n">
        <f aca="false">INT($BO42*$B42)</f>
        <v>3</v>
      </c>
      <c r="P42" s="4" t="n">
        <f aca="false">INT($BP42*$B42)</f>
        <v>3</v>
      </c>
      <c r="Q42" s="4" t="n">
        <f aca="false">INT($BQ42*$B42*$AR42)</f>
        <v>2</v>
      </c>
      <c r="R42" s="4" t="n">
        <f aca="false">IF($R$1="WT/G",INT(POWER($BH42*$BJ42*$BI42,0.333333)),0)+IF($R$1="WT/A",INT(($BH42+$BJ42+$BI42)/3),0)+IF($R$1="WT/A2",INT(($BJ42+$BI42)/2),0)+IF($R$1="WT/W",INT(($BH42+$BJ42+$BJ42+$BI42)/4),0)+IF($R$1="WT/W2",INT(($BH42+$BJ42+$BI42+$BI42)/4),0)+IF($R$1="WT/N",INT(MIN($BH42,$BJ42,$BI42)),0)+IF($R$1="WT/M",INT(MAX($BH42,$BJ42,$BI42)),0)+IF($R$1="WT/1",INT($BH42),0)+IF($R$1="WT/2",INT($BI42),0)+IF($R$1="WT/3",INT($BJ42),0)</f>
        <v>18</v>
      </c>
      <c r="S42" s="4" t="n">
        <f aca="false">INT((10+$M42)*$BL42)</f>
        <v>16</v>
      </c>
      <c r="T42" s="4" t="n">
        <f aca="false">INT($I42*$BM42*$BF42)</f>
        <v>2</v>
      </c>
      <c r="U42" s="2" t="n">
        <f aca="false">ROUND(MAX($J42,$L42)+(MIN($J42,$L42)*$X42),0)</f>
        <v>3</v>
      </c>
      <c r="V42" s="2" t="n">
        <f aca="false">MAX(1,INT(((MIN($I42:$J42)+(MAX($I42:$J42)*$H42*$Y42)))*$Z42))</f>
        <v>5</v>
      </c>
      <c r="X42" s="5" t="n">
        <f aca="false">VLOOKUP($E42,Role!$A$2:$O$9,14,0)</f>
        <v>1</v>
      </c>
      <c r="Y42" s="5" t="n">
        <f aca="false">VLOOKUP($E42,Role!$A$2:$O$9,15,0)</f>
        <v>1</v>
      </c>
      <c r="Z42" s="5" t="n">
        <f aca="false">VLOOKUP($G42,Movement!$A$2:$C$7,3,0)</f>
        <v>1</v>
      </c>
      <c r="AB42" s="5" t="n">
        <f aca="false">INT(5+(($H42-1)/3))</f>
        <v>5</v>
      </c>
      <c r="AC42" s="5" t="n">
        <f aca="false">IF($AB42&lt;$I42,$I42-MAX($AB42,$B42),0)</f>
        <v>0</v>
      </c>
      <c r="AD42" s="5" t="n">
        <f aca="false">(5-ROUND(($H42-1)/3,0))</f>
        <v>5</v>
      </c>
      <c r="AE42" s="5" t="n">
        <f aca="false">IF($AD42&lt;$J42,$J42-MAX($AD42,$B42),0)</f>
        <v>0</v>
      </c>
      <c r="AG42" s="6" t="n">
        <f aca="false">VLOOKUP($F42,Category!$A$2:$AZ$20,24,0)</f>
        <v>0</v>
      </c>
      <c r="AH42" s="6" t="n">
        <f aca="false">VLOOKUP($F42,Category!$A$2:$AZ$20,26,0)</f>
        <v>1.11111111111111</v>
      </c>
      <c r="AI42" s="6" t="n">
        <f aca="false">VLOOKUP($E42,Role!$A$2:$O$9,6,0)</f>
        <v>0.666</v>
      </c>
      <c r="AJ42" s="6" t="n">
        <f aca="false">VLOOKUP($F42,Category!$A$2:$AZ$20,19,0)</f>
        <v>0.363636363636364</v>
      </c>
      <c r="AK42" s="6" t="n">
        <f aca="false">VLOOKUP($F42,Category!$A$2:$AZ$20,21,0)</f>
        <v>0.272727272727273</v>
      </c>
      <c r="AL42" s="6" t="n">
        <f aca="false">VLOOKUP($E42,Role!$A$2:$O$9,7,0)</f>
        <v>0.666</v>
      </c>
      <c r="AM42" s="6" t="n">
        <f aca="false">VLOOKUP($F42,Category!$A$2:$AZ$20,19,0)</f>
        <v>0.363636363636364</v>
      </c>
      <c r="AN42" s="6" t="n">
        <f aca="false">VLOOKUP($F42,Category!$A$2:$AZ$20,21,0)</f>
        <v>0.272727272727273</v>
      </c>
      <c r="AO42" s="6" t="n">
        <f aca="false">VLOOKUP($E42,Role!$A$2:$O$9,5,0)</f>
        <v>0.666</v>
      </c>
      <c r="AP42" s="6" t="n">
        <f aca="false">VLOOKUP($F42,Category!$A$2:$AZ$20,9,0)</f>
        <v>0.444444444444444</v>
      </c>
      <c r="AQ42" s="6" t="n">
        <f aca="false">VLOOKUP($F42,Category!$A$2:$AZ$20,11,0)</f>
        <v>0.666666666666667</v>
      </c>
      <c r="AR42" s="6" t="n">
        <f aca="false">VLOOKUP($F42,Category!$A$2:$AZ$20,10,0)</f>
        <v>1.11111111111111</v>
      </c>
      <c r="AS42" s="6" t="n">
        <f aca="false">VLOOKUP($E42,Role!$A$2:$O$9,4,0)</f>
        <v>0.666</v>
      </c>
      <c r="AT42" s="7" t="n">
        <f aca="false">VLOOKUP($F42,Category!$A$2:$AZ$20,14,0)</f>
        <v>0.333333333333333</v>
      </c>
      <c r="AU42" s="7" t="n">
        <f aca="false">VLOOKUP($F42,Category!$A$2:$AZ$20,16,0)</f>
        <v>0.25</v>
      </c>
      <c r="AV42" s="7" t="n">
        <f aca="false">VLOOKUP($D42,Size!$A$2:$Z$14,17,0)</f>
        <v>3</v>
      </c>
      <c r="AW42" s="7" t="n">
        <f aca="false">VLOOKUP($E42,Role!$A$2:$O$9,3,0)</f>
        <v>0.666</v>
      </c>
      <c r="AX42" s="7" t="n">
        <f aca="false">VLOOKUP($F42,Category!$A$2:$AZ$20,29,0)</f>
        <v>0.333333333333333</v>
      </c>
      <c r="AY42" s="7" t="n">
        <f aca="false">VLOOKUP($F42,Category!$A$2:$AZ$20,31,0)</f>
        <v>0.416666666666667</v>
      </c>
      <c r="AZ42" s="7" t="n">
        <f aca="false">VLOOKUP($D42,Size!$A$2:$Z$14,16,0)</f>
        <v>3</v>
      </c>
      <c r="BA42" s="7" t="n">
        <f aca="false">VLOOKUP($E42,Role!$A$2:$O$9,2,0)</f>
        <v>0.666</v>
      </c>
      <c r="BC42" s="7" t="n">
        <f aca="false">VLOOKUP($D42,Size!$A$2:$Z$14,19,0)</f>
        <v>10</v>
      </c>
      <c r="BD42" s="7" t="n">
        <f aca="false">VLOOKUP($D42,Size!$A$2:$Z$14,20,0)</f>
        <v>1</v>
      </c>
      <c r="BE42" s="7" t="n">
        <f aca="false">VLOOKUP($E42,Role!$A$2:$O$9,12,0)</f>
        <v>1.25</v>
      </c>
      <c r="BF42" s="7" t="n">
        <f aca="false">VLOOKUP($C42,Type!$A$2:$B$4,2,0)</f>
        <v>1</v>
      </c>
      <c r="BG42" s="7" t="n">
        <f aca="false">VLOOKUP($D42,Size!$A$2:$Z$14,18,0)</f>
        <v>13</v>
      </c>
      <c r="BH42" s="7" t="n">
        <f aca="false">INT($BF42*$BG42*$BE42*$B42/2)</f>
        <v>32</v>
      </c>
      <c r="BI42" s="7" t="n">
        <f aca="false">INT(($BC42*$BF42)+($I42*$BD42))</f>
        <v>14</v>
      </c>
      <c r="BJ42" s="7" t="n">
        <f aca="false">INT((($I42*$BE42)+$BC42)*$BF42)</f>
        <v>15</v>
      </c>
      <c r="BK42" s="14"/>
      <c r="BL42" s="7" t="n">
        <f aca="false">VLOOKUP($E42,Role!$A$2:$O$9,13,0)</f>
        <v>1.25</v>
      </c>
      <c r="BM42" s="7" t="n">
        <f aca="false">VLOOKUP($E42,Role!$A$2:$O$9,11,0)</f>
        <v>0.666</v>
      </c>
      <c r="BO42" s="7" t="n">
        <f aca="false">VLOOKUP($E42,Role!$A$2:$O$9,8,0)</f>
        <v>0.75</v>
      </c>
      <c r="BP42" s="7" t="n">
        <f aca="false">VLOOKUP($E42,Role!$A$2:$O$9,9,0)</f>
        <v>0.75</v>
      </c>
      <c r="BQ42" s="7" t="n">
        <f aca="false">VLOOKUP($E42,Role!$A$2:$O$9,10,0)</f>
        <v>0.5</v>
      </c>
    </row>
    <row r="43" customFormat="false" ht="12.8" hidden="false" customHeight="false" outlineLevel="0" collapsed="false">
      <c r="B43" s="2" t="n">
        <v>4</v>
      </c>
      <c r="C43" s="3" t="s">
        <v>63</v>
      </c>
      <c r="D43" s="1" t="s">
        <v>84</v>
      </c>
      <c r="E43" s="1" t="s">
        <v>70</v>
      </c>
      <c r="F43" s="1" t="s">
        <v>76</v>
      </c>
      <c r="G43" s="1" t="s">
        <v>67</v>
      </c>
      <c r="H43" s="4" t="n">
        <f aca="false">VLOOKUP($D43,Size!$A$2:$Z$14,6,0)</f>
        <v>2</v>
      </c>
      <c r="I43" s="13" t="n">
        <f aca="false">INT(($B43*$AZ43*$AX43*$BA43)+($B43*$AY43))</f>
        <v>4</v>
      </c>
      <c r="J43" s="4" t="n">
        <f aca="false">ROUND((($B43*$AT43)+($AV43*$AU43))*$AW43,0)</f>
        <v>1</v>
      </c>
      <c r="K43" s="4" t="n">
        <f aca="false">ROUND((($B43*$AP43)+($B43*$AQ43))*$AS43,0)</f>
        <v>3</v>
      </c>
      <c r="L43" s="4" t="n">
        <f aca="false">ROUND((($B43*$AM43)+($B43*$AN43))*$AO43,0)</f>
        <v>2</v>
      </c>
      <c r="M43" s="4" t="n">
        <f aca="false">ROUND((($B43*$AG43)+($B43*$AH43))*$AI43,0)</f>
        <v>3</v>
      </c>
      <c r="N43" s="4" t="n">
        <f aca="false">ROUND((($B43*$AJ43)+($B43*$AK43))*$AL43,0)</f>
        <v>2</v>
      </c>
      <c r="O43" s="4" t="n">
        <f aca="false">INT($BO43*$B43)</f>
        <v>3</v>
      </c>
      <c r="P43" s="4" t="n">
        <f aca="false">INT($BP43*$B43)</f>
        <v>3</v>
      </c>
      <c r="Q43" s="4" t="n">
        <f aca="false">INT($BQ43*$B43*$AR43)</f>
        <v>2</v>
      </c>
      <c r="R43" s="4" t="n">
        <f aca="false">IF($R$1="WT/G",INT(POWER($BH43*$BJ43*$BI43,0.333333)),0)+IF($R$1="WT/A",INT(($BH43+$BJ43+$BI43)/3),0)+IF($R$1="WT/A2",INT(($BJ43+$BI43)/2),0)+IF($R$1="WT/W",INT(($BH43+$BJ43+$BJ43+$BI43)/4),0)+IF($R$1="WT/W2",INT(($BH43+$BJ43+$BI43+$BI43)/4),0)+IF($R$1="WT/N",INT(MIN($BH43,$BJ43,$BI43)),0)+IF($R$1="WT/M",INT(MAX($BH43,$BJ43,$BI43)),0)+IF($R$1="WT/1",INT($BH43),0)+IF($R$1="WT/2",INT($BI43),0)+IF($R$1="WT/3",INT($BJ43),0)</f>
        <v>23</v>
      </c>
      <c r="S43" s="4" t="n">
        <f aca="false">INT((10+$M43)*$BL43)</f>
        <v>16</v>
      </c>
      <c r="T43" s="4" t="n">
        <f aca="false">INT($I43*$BM43*$BF43)</f>
        <v>2</v>
      </c>
      <c r="U43" s="2" t="n">
        <f aca="false">ROUND(MAX($J43,$L43)+(MIN($J43,$L43)*$X43),0)</f>
        <v>3</v>
      </c>
      <c r="V43" s="2" t="n">
        <f aca="false">MAX(1,INT(((MIN($I43:$J43)+(MAX($I43:$J43)*$H43*$Y43)))*$Z43))</f>
        <v>9</v>
      </c>
      <c r="X43" s="5" t="n">
        <f aca="false">VLOOKUP($E43,Role!$A$2:$O$9,14,0)</f>
        <v>1</v>
      </c>
      <c r="Y43" s="5" t="n">
        <f aca="false">VLOOKUP($E43,Role!$A$2:$O$9,15,0)</f>
        <v>1</v>
      </c>
      <c r="Z43" s="5" t="n">
        <f aca="false">VLOOKUP($G43,Movement!$A$2:$C$7,3,0)</f>
        <v>1</v>
      </c>
      <c r="AB43" s="5" t="n">
        <f aca="false">INT(5+(($H43-1)/3))</f>
        <v>5</v>
      </c>
      <c r="AC43" s="5" t="n">
        <f aca="false">IF($AB43&lt;$I43,$I43-MAX($AB43,$B43),0)</f>
        <v>0</v>
      </c>
      <c r="AD43" s="5" t="n">
        <f aca="false">(5-ROUND(($H43-1)/3,0))</f>
        <v>5</v>
      </c>
      <c r="AE43" s="5" t="n">
        <f aca="false">IF($AD43&lt;$J43,$J43-MAX($AD43,$B43),0)</f>
        <v>0</v>
      </c>
      <c r="AG43" s="6" t="n">
        <f aca="false">VLOOKUP($F43,Category!$A$2:$AZ$20,24,0)</f>
        <v>0</v>
      </c>
      <c r="AH43" s="6" t="n">
        <f aca="false">VLOOKUP($F43,Category!$A$2:$AZ$20,26,0)</f>
        <v>1.11111111111111</v>
      </c>
      <c r="AI43" s="6" t="n">
        <f aca="false">VLOOKUP($E43,Role!$A$2:$O$9,6,0)</f>
        <v>0.666</v>
      </c>
      <c r="AJ43" s="6" t="n">
        <f aca="false">VLOOKUP($F43,Category!$A$2:$AZ$20,19,0)</f>
        <v>0.363636363636364</v>
      </c>
      <c r="AK43" s="6" t="n">
        <f aca="false">VLOOKUP($F43,Category!$A$2:$AZ$20,21,0)</f>
        <v>0.272727272727273</v>
      </c>
      <c r="AL43" s="6" t="n">
        <f aca="false">VLOOKUP($E43,Role!$A$2:$O$9,7,0)</f>
        <v>0.666</v>
      </c>
      <c r="AM43" s="6" t="n">
        <f aca="false">VLOOKUP($F43,Category!$A$2:$AZ$20,19,0)</f>
        <v>0.363636363636364</v>
      </c>
      <c r="AN43" s="6" t="n">
        <f aca="false">VLOOKUP($F43,Category!$A$2:$AZ$20,21,0)</f>
        <v>0.272727272727273</v>
      </c>
      <c r="AO43" s="6" t="n">
        <f aca="false">VLOOKUP($E43,Role!$A$2:$O$9,5,0)</f>
        <v>0.666</v>
      </c>
      <c r="AP43" s="6" t="n">
        <f aca="false">VLOOKUP($F43,Category!$A$2:$AZ$20,9,0)</f>
        <v>0.444444444444444</v>
      </c>
      <c r="AQ43" s="6" t="n">
        <f aca="false">VLOOKUP($F43,Category!$A$2:$AZ$20,11,0)</f>
        <v>0.666666666666667</v>
      </c>
      <c r="AR43" s="6" t="n">
        <f aca="false">VLOOKUP($F43,Category!$A$2:$AZ$20,10,0)</f>
        <v>1.11111111111111</v>
      </c>
      <c r="AS43" s="6" t="n">
        <f aca="false">VLOOKUP($E43,Role!$A$2:$O$9,4,0)</f>
        <v>0.666</v>
      </c>
      <c r="AT43" s="7" t="n">
        <f aca="false">VLOOKUP($F43,Category!$A$2:$AZ$20,14,0)</f>
        <v>0.333333333333333</v>
      </c>
      <c r="AU43" s="7" t="n">
        <f aca="false">VLOOKUP($F43,Category!$A$2:$AZ$20,16,0)</f>
        <v>0.25</v>
      </c>
      <c r="AV43" s="7" t="n">
        <f aca="false">VLOOKUP($D43,Size!$A$2:$Z$14,17,0)</f>
        <v>3</v>
      </c>
      <c r="AW43" s="7" t="n">
        <f aca="false">VLOOKUP($E43,Role!$A$2:$O$9,3,0)</f>
        <v>0.666</v>
      </c>
      <c r="AX43" s="7" t="n">
        <f aca="false">VLOOKUP($F43,Category!$A$2:$AZ$20,29,0)</f>
        <v>0.333333333333333</v>
      </c>
      <c r="AY43" s="7" t="n">
        <f aca="false">VLOOKUP($F43,Category!$A$2:$AZ$20,31,0)</f>
        <v>0.416666666666667</v>
      </c>
      <c r="AZ43" s="7" t="n">
        <f aca="false">VLOOKUP($D43,Size!$A$2:$Z$14,16,0)</f>
        <v>3</v>
      </c>
      <c r="BA43" s="7" t="n">
        <f aca="false">VLOOKUP($E43,Role!$A$2:$O$9,2,0)</f>
        <v>0.666</v>
      </c>
      <c r="BC43" s="7" t="n">
        <f aca="false">VLOOKUP($D43,Size!$A$2:$Z$14,19,0)</f>
        <v>12</v>
      </c>
      <c r="BD43" s="7" t="n">
        <f aca="false">VLOOKUP($D43,Size!$A$2:$Z$14,20,0)</f>
        <v>1.5</v>
      </c>
      <c r="BE43" s="7" t="n">
        <f aca="false">VLOOKUP($E43,Role!$A$2:$O$9,12,0)</f>
        <v>1.25</v>
      </c>
      <c r="BF43" s="7" t="n">
        <f aca="false">VLOOKUP($C43,Type!$A$2:$B$4,2,0)</f>
        <v>1</v>
      </c>
      <c r="BG43" s="7" t="n">
        <f aca="false">VLOOKUP($D43,Size!$A$2:$Z$14,18,0)</f>
        <v>16.2236679323423</v>
      </c>
      <c r="BH43" s="7" t="n">
        <f aca="false">INT($BF43*$BG43*$BE43*$B43/2)</f>
        <v>40</v>
      </c>
      <c r="BI43" s="7" t="n">
        <f aca="false">INT(($BC43*$BF43)+($I43*$BD43))</f>
        <v>18</v>
      </c>
      <c r="BJ43" s="7" t="n">
        <f aca="false">INT((($I43*$BE43)+$BC43)*$BF43)</f>
        <v>17</v>
      </c>
      <c r="BK43" s="14"/>
      <c r="BL43" s="7" t="n">
        <f aca="false">VLOOKUP($E43,Role!$A$2:$O$9,13,0)</f>
        <v>1.25</v>
      </c>
      <c r="BM43" s="7" t="n">
        <f aca="false">VLOOKUP($E43,Role!$A$2:$O$9,11,0)</f>
        <v>0.666</v>
      </c>
      <c r="BO43" s="7" t="n">
        <f aca="false">VLOOKUP($E43,Role!$A$2:$O$9,8,0)</f>
        <v>0.75</v>
      </c>
      <c r="BP43" s="7" t="n">
        <f aca="false">VLOOKUP($E43,Role!$A$2:$O$9,9,0)</f>
        <v>0.75</v>
      </c>
      <c r="BQ43" s="7" t="n">
        <f aca="false">VLOOKUP($E43,Role!$A$2:$O$9,10,0)</f>
        <v>0.5</v>
      </c>
    </row>
    <row r="44" customFormat="false" ht="12.8" hidden="false" customHeight="false" outlineLevel="0" collapsed="false">
      <c r="B44" s="2" t="n">
        <v>4</v>
      </c>
      <c r="C44" s="3" t="s">
        <v>63</v>
      </c>
      <c r="D44" s="1" t="s">
        <v>85</v>
      </c>
      <c r="E44" s="1" t="s">
        <v>70</v>
      </c>
      <c r="F44" s="1" t="s">
        <v>76</v>
      </c>
      <c r="G44" s="1" t="s">
        <v>67</v>
      </c>
      <c r="H44" s="4" t="n">
        <f aca="false">VLOOKUP($D44,Size!$A$2:$Z$14,6,0)</f>
        <v>3</v>
      </c>
      <c r="I44" s="13" t="n">
        <f aca="false">INT(($B44*$AZ44*$AX44*$BA44)+($B44*$AY44))</f>
        <v>5</v>
      </c>
      <c r="J44" s="4" t="n">
        <f aca="false">ROUND((($B44*$AT44)+($AV44*$AU44))*$AW44,0)</f>
        <v>1</v>
      </c>
      <c r="K44" s="4" t="n">
        <f aca="false">ROUND((($B44*$AP44)+($B44*$AQ44))*$AS44,0)</f>
        <v>3</v>
      </c>
      <c r="L44" s="4" t="n">
        <f aca="false">ROUND((($B44*$AM44)+($B44*$AN44))*$AO44,0)</f>
        <v>2</v>
      </c>
      <c r="M44" s="4" t="n">
        <f aca="false">ROUND((($B44*$AG44)+($B44*$AH44))*$AI44,0)</f>
        <v>3</v>
      </c>
      <c r="N44" s="4" t="n">
        <f aca="false">ROUND((($B44*$AJ44)+($B44*$AK44))*$AL44,0)</f>
        <v>2</v>
      </c>
      <c r="O44" s="4" t="n">
        <f aca="false">INT($BO44*$B44)</f>
        <v>3</v>
      </c>
      <c r="P44" s="4" t="n">
        <f aca="false">INT($BP44*$B44)</f>
        <v>3</v>
      </c>
      <c r="Q44" s="4" t="n">
        <f aca="false">INT($BQ44*$B44*$AR44)</f>
        <v>2</v>
      </c>
      <c r="R44" s="4" t="n">
        <f aca="false">IF($R$1="WT/G",INT(POWER($BH44*$BJ44*$BI44,0.333333)),0)+IF($R$1="WT/A",INT(($BH44+$BJ44+$BI44)/3),0)+IF($R$1="WT/A2",INT(($BJ44+$BI44)/2),0)+IF($R$1="WT/W",INT(($BH44+$BJ44+$BJ44+$BI44)/4),0)+IF($R$1="WT/W2",INT(($BH44+$BJ44+$BI44+$BI44)/4),0)+IF($R$1="WT/N",INT(MIN($BH44,$BJ44,$BI44)),0)+IF($R$1="WT/M",INT(MAX($BH44,$BJ44,$BI44)),0)+IF($R$1="WT/1",INT($BH44),0)+IF($R$1="WT/2",INT($BI44),0)+IF($R$1="WT/3",INT($BJ44),0)</f>
        <v>30</v>
      </c>
      <c r="S44" s="4" t="n">
        <f aca="false">INT((10+$M44)*$BL44)</f>
        <v>16</v>
      </c>
      <c r="T44" s="4" t="n">
        <f aca="false">INT($I44*$BM44*$BF44)</f>
        <v>3</v>
      </c>
      <c r="U44" s="2" t="n">
        <f aca="false">ROUND(MAX($J44,$L44)+(MIN($J44,$L44)*$X44),0)</f>
        <v>3</v>
      </c>
      <c r="V44" s="2" t="n">
        <f aca="false">MAX(1,INT(((MIN($I44:$J44)+(MAX($I44:$J44)*$H44*$Y44)))*$Z44))</f>
        <v>16</v>
      </c>
      <c r="X44" s="5" t="n">
        <f aca="false">VLOOKUP($E44,Role!$A$2:$O$9,14,0)</f>
        <v>1</v>
      </c>
      <c r="Y44" s="5" t="n">
        <f aca="false">VLOOKUP($E44,Role!$A$2:$O$9,15,0)</f>
        <v>1</v>
      </c>
      <c r="Z44" s="5" t="n">
        <f aca="false">VLOOKUP($G44,Movement!$A$2:$C$7,3,0)</f>
        <v>1</v>
      </c>
      <c r="AB44" s="5" t="n">
        <f aca="false">INT(5+(($H44-1)/3))</f>
        <v>5</v>
      </c>
      <c r="AC44" s="5" t="n">
        <f aca="false">IF($AB44&lt;$I44,$I44-MAX($AB44,$B44),0)</f>
        <v>0</v>
      </c>
      <c r="AD44" s="5" t="n">
        <f aca="false">(5-ROUND(($H44-1)/3,0))</f>
        <v>4</v>
      </c>
      <c r="AE44" s="5" t="n">
        <f aca="false">IF($AD44&lt;$J44,$J44-MAX($AD44,$B44),0)</f>
        <v>0</v>
      </c>
      <c r="AG44" s="6" t="n">
        <f aca="false">VLOOKUP($F44,Category!$A$2:$AZ$20,24,0)</f>
        <v>0</v>
      </c>
      <c r="AH44" s="6" t="n">
        <f aca="false">VLOOKUP($F44,Category!$A$2:$AZ$20,26,0)</f>
        <v>1.11111111111111</v>
      </c>
      <c r="AI44" s="6" t="n">
        <f aca="false">VLOOKUP($E44,Role!$A$2:$O$9,6,0)</f>
        <v>0.666</v>
      </c>
      <c r="AJ44" s="6" t="n">
        <f aca="false">VLOOKUP($F44,Category!$A$2:$AZ$20,19,0)</f>
        <v>0.363636363636364</v>
      </c>
      <c r="AK44" s="6" t="n">
        <f aca="false">VLOOKUP($F44,Category!$A$2:$AZ$20,21,0)</f>
        <v>0.272727272727273</v>
      </c>
      <c r="AL44" s="6" t="n">
        <f aca="false">VLOOKUP($E44,Role!$A$2:$O$9,7,0)</f>
        <v>0.666</v>
      </c>
      <c r="AM44" s="6" t="n">
        <f aca="false">VLOOKUP($F44,Category!$A$2:$AZ$20,19,0)</f>
        <v>0.363636363636364</v>
      </c>
      <c r="AN44" s="6" t="n">
        <f aca="false">VLOOKUP($F44,Category!$A$2:$AZ$20,21,0)</f>
        <v>0.272727272727273</v>
      </c>
      <c r="AO44" s="6" t="n">
        <f aca="false">VLOOKUP($E44,Role!$A$2:$O$9,5,0)</f>
        <v>0.666</v>
      </c>
      <c r="AP44" s="6" t="n">
        <f aca="false">VLOOKUP($F44,Category!$A$2:$AZ$20,9,0)</f>
        <v>0.444444444444444</v>
      </c>
      <c r="AQ44" s="6" t="n">
        <f aca="false">VLOOKUP($F44,Category!$A$2:$AZ$20,11,0)</f>
        <v>0.666666666666667</v>
      </c>
      <c r="AR44" s="6" t="n">
        <f aca="false">VLOOKUP($F44,Category!$A$2:$AZ$20,10,0)</f>
        <v>1.11111111111111</v>
      </c>
      <c r="AS44" s="6" t="n">
        <f aca="false">VLOOKUP($E44,Role!$A$2:$O$9,4,0)</f>
        <v>0.666</v>
      </c>
      <c r="AT44" s="7" t="n">
        <f aca="false">VLOOKUP($F44,Category!$A$2:$AZ$20,14,0)</f>
        <v>0.333333333333333</v>
      </c>
      <c r="AU44" s="7" t="n">
        <f aca="false">VLOOKUP($F44,Category!$A$2:$AZ$20,16,0)</f>
        <v>0.25</v>
      </c>
      <c r="AV44" s="7" t="n">
        <f aca="false">VLOOKUP($D44,Size!$A$2:$Z$14,17,0)</f>
        <v>2</v>
      </c>
      <c r="AW44" s="7" t="n">
        <f aca="false">VLOOKUP($E44,Role!$A$2:$O$9,3,0)</f>
        <v>0.666</v>
      </c>
      <c r="AX44" s="7" t="n">
        <f aca="false">VLOOKUP($F44,Category!$A$2:$AZ$20,29,0)</f>
        <v>0.333333333333333</v>
      </c>
      <c r="AY44" s="7" t="n">
        <f aca="false">VLOOKUP($F44,Category!$A$2:$AZ$20,31,0)</f>
        <v>0.416666666666667</v>
      </c>
      <c r="AZ44" s="7" t="n">
        <f aca="false">VLOOKUP($D44,Size!$A$2:$Z$14,16,0)</f>
        <v>4</v>
      </c>
      <c r="BA44" s="7" t="n">
        <f aca="false">VLOOKUP($E44,Role!$A$2:$O$9,2,0)</f>
        <v>0.666</v>
      </c>
      <c r="BC44" s="7" t="n">
        <f aca="false">VLOOKUP($D44,Size!$A$2:$Z$14,19,0)</f>
        <v>14</v>
      </c>
      <c r="BD44" s="7" t="n">
        <f aca="false">VLOOKUP($D44,Size!$A$2:$Z$14,20,0)</f>
        <v>2</v>
      </c>
      <c r="BE44" s="7" t="n">
        <f aca="false">VLOOKUP($E44,Role!$A$2:$O$9,12,0)</f>
        <v>1.25</v>
      </c>
      <c r="BF44" s="7" t="n">
        <f aca="false">VLOOKUP($C44,Type!$A$2:$B$4,2,0)</f>
        <v>1</v>
      </c>
      <c r="BG44" s="7" t="n">
        <f aca="false">VLOOKUP($D44,Size!$A$2:$Z$14,18,0)</f>
        <v>21.7830216372384</v>
      </c>
      <c r="BH44" s="7" t="n">
        <f aca="false">INT($BF44*$BG44*$BE44*$B44/2)</f>
        <v>54</v>
      </c>
      <c r="BI44" s="7" t="n">
        <f aca="false">INT(($BC44*$BF44)+($I44*$BD44))</f>
        <v>24</v>
      </c>
      <c r="BJ44" s="7" t="n">
        <f aca="false">INT((($I44*$BE44)+$BC44)*$BF44)</f>
        <v>20</v>
      </c>
      <c r="BK44" s="14"/>
      <c r="BL44" s="7" t="n">
        <f aca="false">VLOOKUP($E44,Role!$A$2:$O$9,13,0)</f>
        <v>1.25</v>
      </c>
      <c r="BM44" s="7" t="n">
        <f aca="false">VLOOKUP($E44,Role!$A$2:$O$9,11,0)</f>
        <v>0.666</v>
      </c>
      <c r="BO44" s="7" t="n">
        <f aca="false">VLOOKUP($E44,Role!$A$2:$O$9,8,0)</f>
        <v>0.75</v>
      </c>
      <c r="BP44" s="7" t="n">
        <f aca="false">VLOOKUP($E44,Role!$A$2:$O$9,9,0)</f>
        <v>0.75</v>
      </c>
      <c r="BQ44" s="7" t="n">
        <f aca="false">VLOOKUP($E44,Role!$A$2:$O$9,10,0)</f>
        <v>0.5</v>
      </c>
    </row>
    <row r="45" customFormat="false" ht="12.8" hidden="false" customHeight="false" outlineLevel="0" collapsed="false">
      <c r="B45" s="2" t="n">
        <v>4</v>
      </c>
      <c r="C45" s="3" t="s">
        <v>63</v>
      </c>
      <c r="D45" s="1" t="s">
        <v>86</v>
      </c>
      <c r="E45" s="1" t="s">
        <v>70</v>
      </c>
      <c r="F45" s="1" t="s">
        <v>76</v>
      </c>
      <c r="G45" s="1" t="s">
        <v>67</v>
      </c>
      <c r="H45" s="4" t="n">
        <f aca="false">VLOOKUP($D45,Size!$A$2:$Z$14,6,0)</f>
        <v>4</v>
      </c>
      <c r="I45" s="13" t="n">
        <f aca="false">INT(($B45*$AZ45*$AX45*$BA45)+($B45*$AY45))</f>
        <v>5</v>
      </c>
      <c r="J45" s="4" t="n">
        <f aca="false">ROUND((($B45*$AT45)+($AV45*$AU45))*$AW45,0)</f>
        <v>1</v>
      </c>
      <c r="K45" s="4" t="n">
        <f aca="false">ROUND((($B45*$AP45)+($B45*$AQ45))*$AS45,0)</f>
        <v>3</v>
      </c>
      <c r="L45" s="4" t="n">
        <f aca="false">ROUND((($B45*$AM45)+($B45*$AN45))*$AO45,0)</f>
        <v>2</v>
      </c>
      <c r="M45" s="4" t="n">
        <f aca="false">ROUND((($B45*$AG45)+($B45*$AH45))*$AI45,0)</f>
        <v>3</v>
      </c>
      <c r="N45" s="4" t="n">
        <f aca="false">ROUND((($B45*$AJ45)+($B45*$AK45))*$AL45,0)</f>
        <v>2</v>
      </c>
      <c r="O45" s="4" t="n">
        <f aca="false">INT($BO45*$B45)</f>
        <v>3</v>
      </c>
      <c r="P45" s="4" t="n">
        <f aca="false">INT($BP45*$B45)</f>
        <v>3</v>
      </c>
      <c r="Q45" s="4" t="n">
        <f aca="false">INT($BQ45*$B45*$AR45)</f>
        <v>2</v>
      </c>
      <c r="R45" s="4" t="n">
        <f aca="false">IF($R$1="WT/G",INT(POWER($BH45*$BJ45*$BI45,0.333333)),0)+IF($R$1="WT/A",INT(($BH45+$BJ45+$BI45)/3),0)+IF($R$1="WT/A2",INT(($BJ45+$BI45)/2),0)+IF($R$1="WT/W",INT(($BH45+$BJ45+$BJ45+$BI45)/4),0)+IF($R$1="WT/W2",INT(($BH45+$BJ45+$BI45+$BI45)/4),0)+IF($R$1="WT/N",INT(MIN($BH45,$BJ45,$BI45)),0)+IF($R$1="WT/M",INT(MAX($BH45,$BJ45,$BI45)),0)+IF($R$1="WT/1",INT($BH45),0)+IF($R$1="WT/2",INT($BI45),0)+IF($R$1="WT/3",INT($BJ45),0)</f>
        <v>36</v>
      </c>
      <c r="S45" s="4" t="n">
        <f aca="false">INT((10+$M45)*$BL45)</f>
        <v>16</v>
      </c>
      <c r="T45" s="4" t="n">
        <f aca="false">INT($I45*$BM45*$BF45)</f>
        <v>3</v>
      </c>
      <c r="U45" s="2" t="n">
        <f aca="false">ROUND(MAX($J45,$L45)+(MIN($J45,$L45)*$X45),0)</f>
        <v>3</v>
      </c>
      <c r="V45" s="2" t="n">
        <f aca="false">MAX(1,INT(((MIN($I45:$J45)+(MAX($I45:$J45)*$H45*$Y45)))*$Z45))</f>
        <v>21</v>
      </c>
      <c r="X45" s="5" t="n">
        <f aca="false">VLOOKUP($E45,Role!$A$2:$O$9,14,0)</f>
        <v>1</v>
      </c>
      <c r="Y45" s="5" t="n">
        <f aca="false">VLOOKUP($E45,Role!$A$2:$O$9,15,0)</f>
        <v>1</v>
      </c>
      <c r="Z45" s="5" t="n">
        <f aca="false">VLOOKUP($G45,Movement!$A$2:$C$7,3,0)</f>
        <v>1</v>
      </c>
      <c r="AB45" s="5" t="n">
        <f aca="false">INT(5+(($H45-1)/3))</f>
        <v>6</v>
      </c>
      <c r="AC45" s="5" t="n">
        <f aca="false">IF($AB45&lt;$I45,$I45-MAX($AB45,$B45),0)</f>
        <v>0</v>
      </c>
      <c r="AD45" s="5" t="n">
        <f aca="false">(5-ROUND(($H45-1)/3,0))</f>
        <v>4</v>
      </c>
      <c r="AE45" s="5" t="n">
        <f aca="false">IF($AD45&lt;$J45,$J45-MAX($AD45,$B45),0)</f>
        <v>0</v>
      </c>
      <c r="AG45" s="6" t="n">
        <f aca="false">VLOOKUP($F45,Category!$A$2:$AZ$20,24,0)</f>
        <v>0</v>
      </c>
      <c r="AH45" s="6" t="n">
        <f aca="false">VLOOKUP($F45,Category!$A$2:$AZ$20,26,0)</f>
        <v>1.11111111111111</v>
      </c>
      <c r="AI45" s="6" t="n">
        <f aca="false">VLOOKUP($E45,Role!$A$2:$O$9,6,0)</f>
        <v>0.666</v>
      </c>
      <c r="AJ45" s="6" t="n">
        <f aca="false">VLOOKUP($F45,Category!$A$2:$AZ$20,19,0)</f>
        <v>0.363636363636364</v>
      </c>
      <c r="AK45" s="6" t="n">
        <f aca="false">VLOOKUP($F45,Category!$A$2:$AZ$20,21,0)</f>
        <v>0.272727272727273</v>
      </c>
      <c r="AL45" s="6" t="n">
        <f aca="false">VLOOKUP($E45,Role!$A$2:$O$9,7,0)</f>
        <v>0.666</v>
      </c>
      <c r="AM45" s="6" t="n">
        <f aca="false">VLOOKUP($F45,Category!$A$2:$AZ$20,19,0)</f>
        <v>0.363636363636364</v>
      </c>
      <c r="AN45" s="6" t="n">
        <f aca="false">VLOOKUP($F45,Category!$A$2:$AZ$20,21,0)</f>
        <v>0.272727272727273</v>
      </c>
      <c r="AO45" s="6" t="n">
        <f aca="false">VLOOKUP($E45,Role!$A$2:$O$9,5,0)</f>
        <v>0.666</v>
      </c>
      <c r="AP45" s="6" t="n">
        <f aca="false">VLOOKUP($F45,Category!$A$2:$AZ$20,9,0)</f>
        <v>0.444444444444444</v>
      </c>
      <c r="AQ45" s="6" t="n">
        <f aca="false">VLOOKUP($F45,Category!$A$2:$AZ$20,11,0)</f>
        <v>0.666666666666667</v>
      </c>
      <c r="AR45" s="6" t="n">
        <f aca="false">VLOOKUP($F45,Category!$A$2:$AZ$20,10,0)</f>
        <v>1.11111111111111</v>
      </c>
      <c r="AS45" s="6" t="n">
        <f aca="false">VLOOKUP($E45,Role!$A$2:$O$9,4,0)</f>
        <v>0.666</v>
      </c>
      <c r="AT45" s="7" t="n">
        <f aca="false">VLOOKUP($F45,Category!$A$2:$AZ$20,14,0)</f>
        <v>0.333333333333333</v>
      </c>
      <c r="AU45" s="7" t="n">
        <f aca="false">VLOOKUP($F45,Category!$A$2:$AZ$20,16,0)</f>
        <v>0.25</v>
      </c>
      <c r="AV45" s="7" t="n">
        <f aca="false">VLOOKUP($D45,Size!$A$2:$Z$14,17,0)</f>
        <v>2</v>
      </c>
      <c r="AW45" s="7" t="n">
        <f aca="false">VLOOKUP($E45,Role!$A$2:$O$9,3,0)</f>
        <v>0.666</v>
      </c>
      <c r="AX45" s="7" t="n">
        <f aca="false">VLOOKUP($F45,Category!$A$2:$AZ$20,29,0)</f>
        <v>0.333333333333333</v>
      </c>
      <c r="AY45" s="7" t="n">
        <f aca="false">VLOOKUP($F45,Category!$A$2:$AZ$20,31,0)</f>
        <v>0.416666666666667</v>
      </c>
      <c r="AZ45" s="7" t="n">
        <f aca="false">VLOOKUP($D45,Size!$A$2:$Z$14,16,0)</f>
        <v>4</v>
      </c>
      <c r="BA45" s="7" t="n">
        <f aca="false">VLOOKUP($E45,Role!$A$2:$O$9,2,0)</f>
        <v>0.666</v>
      </c>
      <c r="BC45" s="7" t="n">
        <f aca="false">VLOOKUP($D45,Size!$A$2:$Z$14,19,0)</f>
        <v>16</v>
      </c>
      <c r="BD45" s="7" t="n">
        <f aca="false">VLOOKUP($D45,Size!$A$2:$Z$14,20,0)</f>
        <v>3</v>
      </c>
      <c r="BE45" s="7" t="n">
        <f aca="false">VLOOKUP($E45,Role!$A$2:$O$9,12,0)</f>
        <v>1.25</v>
      </c>
      <c r="BF45" s="7" t="n">
        <f aca="false">VLOOKUP($C45,Type!$A$2:$B$4,2,0)</f>
        <v>1</v>
      </c>
      <c r="BG45" s="7" t="n">
        <f aca="false">VLOOKUP($D45,Size!$A$2:$Z$14,18,0)</f>
        <v>25.3004131186338</v>
      </c>
      <c r="BH45" s="7" t="n">
        <f aca="false">INT($BF45*$BG45*$BE45*$B45/2)</f>
        <v>63</v>
      </c>
      <c r="BI45" s="7" t="n">
        <f aca="false">INT(($BC45*$BF45)+($I45*$BD45))</f>
        <v>31</v>
      </c>
      <c r="BJ45" s="7" t="n">
        <f aca="false">INT((($I45*$BE45)+$BC45)*$BF45)</f>
        <v>22</v>
      </c>
      <c r="BK45" s="14"/>
      <c r="BL45" s="7" t="n">
        <f aca="false">VLOOKUP($E45,Role!$A$2:$O$9,13,0)</f>
        <v>1.25</v>
      </c>
      <c r="BM45" s="7" t="n">
        <f aca="false">VLOOKUP($E45,Role!$A$2:$O$9,11,0)</f>
        <v>0.666</v>
      </c>
      <c r="BO45" s="7" t="n">
        <f aca="false">VLOOKUP($E45,Role!$A$2:$O$9,8,0)</f>
        <v>0.75</v>
      </c>
      <c r="BP45" s="7" t="n">
        <f aca="false">VLOOKUP($E45,Role!$A$2:$O$9,9,0)</f>
        <v>0.75</v>
      </c>
      <c r="BQ45" s="7" t="n">
        <f aca="false">VLOOKUP($E45,Role!$A$2:$O$9,10,0)</f>
        <v>0.5</v>
      </c>
    </row>
    <row r="46" customFormat="false" ht="12.8" hidden="false" customHeight="false" outlineLevel="0" collapsed="false">
      <c r="B46" s="2" t="n">
        <v>4</v>
      </c>
      <c r="C46" s="3" t="s">
        <v>63</v>
      </c>
      <c r="D46" s="1" t="s">
        <v>87</v>
      </c>
      <c r="E46" s="1" t="s">
        <v>70</v>
      </c>
      <c r="F46" s="1" t="s">
        <v>76</v>
      </c>
      <c r="G46" s="1" t="s">
        <v>67</v>
      </c>
      <c r="H46" s="4" t="n">
        <f aca="false">VLOOKUP($D46,Size!$A$2:$Z$14,6,0)</f>
        <v>5</v>
      </c>
      <c r="I46" s="13" t="n">
        <f aca="false">INT(($B46*$AZ46*$AX46*$BA46)+($B46*$AY46))</f>
        <v>6</v>
      </c>
      <c r="J46" s="4" t="n">
        <f aca="false">ROUND((($B46*$AT46)+($AV46*$AU46))*$AW46,0)</f>
        <v>1</v>
      </c>
      <c r="K46" s="4" t="n">
        <f aca="false">ROUND((($B46*$AP46)+($B46*$AQ46))*$AS46,0)</f>
        <v>3</v>
      </c>
      <c r="L46" s="4" t="n">
        <f aca="false">ROUND((($B46*$AM46)+($B46*$AN46))*$AO46,0)</f>
        <v>2</v>
      </c>
      <c r="M46" s="4" t="n">
        <f aca="false">ROUND((($B46*$AG46)+($B46*$AH46))*$AI46,0)</f>
        <v>3</v>
      </c>
      <c r="N46" s="4" t="n">
        <f aca="false">ROUND((($B46*$AJ46)+($B46*$AK46))*$AL46,0)</f>
        <v>2</v>
      </c>
      <c r="O46" s="4" t="n">
        <f aca="false">INT($BO46*$B46)</f>
        <v>3</v>
      </c>
      <c r="P46" s="4" t="n">
        <f aca="false">INT($BP46*$B46)</f>
        <v>3</v>
      </c>
      <c r="Q46" s="4" t="n">
        <f aca="false">INT($BQ46*$B46*$AR46)</f>
        <v>2</v>
      </c>
      <c r="R46" s="4" t="n">
        <f aca="false">IF($R$1="WT/G",INT(POWER($BH46*$BJ46*$BI46,0.333333)),0)+IF($R$1="WT/A",INT(($BH46+$BJ46+$BI46)/3),0)+IF($R$1="WT/A2",INT(($BJ46+$BI46)/2),0)+IF($R$1="WT/W",INT(($BH46+$BJ46+$BJ46+$BI46)/4),0)+IF($R$1="WT/W2",INT(($BH46+$BJ46+$BI46+$BI46)/4),0)+IF($R$1="WT/N",INT(MIN($BH46,$BJ46,$BI46)),0)+IF($R$1="WT/M",INT(MAX($BH46,$BJ46,$BI46)),0)+IF($R$1="WT/1",INT($BH46),0)+IF($R$1="WT/2",INT($BI46),0)+IF($R$1="WT/3",INT($BJ46),0)</f>
        <v>46</v>
      </c>
      <c r="S46" s="4" t="n">
        <f aca="false">INT((10+$M46)*$BL46)</f>
        <v>16</v>
      </c>
      <c r="T46" s="4" t="n">
        <f aca="false">INT($I46*$BM46*$BF46)</f>
        <v>3</v>
      </c>
      <c r="U46" s="2" t="n">
        <f aca="false">ROUND(MAX($J46,$L46)+(MIN($J46,$L46)*$X46),0)</f>
        <v>3</v>
      </c>
      <c r="V46" s="2" t="n">
        <f aca="false">MAX(1,INT(((MIN($I46:$J46)+(MAX($I46:$J46)*$H46*$Y46)))*$Z46))</f>
        <v>31</v>
      </c>
      <c r="X46" s="5" t="n">
        <f aca="false">VLOOKUP($E46,Role!$A$2:$O$9,14,0)</f>
        <v>1</v>
      </c>
      <c r="Y46" s="5" t="n">
        <f aca="false">VLOOKUP($E46,Role!$A$2:$O$9,15,0)</f>
        <v>1</v>
      </c>
      <c r="Z46" s="5" t="n">
        <f aca="false">VLOOKUP($G46,Movement!$A$2:$C$7,3,0)</f>
        <v>1</v>
      </c>
      <c r="AB46" s="5" t="n">
        <f aca="false">INT(5+(($H46-1)/3))</f>
        <v>6</v>
      </c>
      <c r="AC46" s="5" t="n">
        <f aca="false">IF($AB46&lt;$I46,$I46-MAX($AB46,$B46),0)</f>
        <v>0</v>
      </c>
      <c r="AD46" s="5" t="n">
        <f aca="false">(5-ROUND(($H46-1)/3,0))</f>
        <v>4</v>
      </c>
      <c r="AE46" s="5" t="n">
        <f aca="false">IF($AD46&lt;$J46,$J46-MAX($AD46,$B46),0)</f>
        <v>0</v>
      </c>
      <c r="AG46" s="6" t="n">
        <f aca="false">VLOOKUP($F46,Category!$A$2:$AZ$20,24,0)</f>
        <v>0</v>
      </c>
      <c r="AH46" s="6" t="n">
        <f aca="false">VLOOKUP($F46,Category!$A$2:$AZ$20,26,0)</f>
        <v>1.11111111111111</v>
      </c>
      <c r="AI46" s="6" t="n">
        <f aca="false">VLOOKUP($E46,Role!$A$2:$O$9,6,0)</f>
        <v>0.666</v>
      </c>
      <c r="AJ46" s="6" t="n">
        <f aca="false">VLOOKUP($F46,Category!$A$2:$AZ$20,19,0)</f>
        <v>0.363636363636364</v>
      </c>
      <c r="AK46" s="6" t="n">
        <f aca="false">VLOOKUP($F46,Category!$A$2:$AZ$20,21,0)</f>
        <v>0.272727272727273</v>
      </c>
      <c r="AL46" s="6" t="n">
        <f aca="false">VLOOKUP($E46,Role!$A$2:$O$9,7,0)</f>
        <v>0.666</v>
      </c>
      <c r="AM46" s="6" t="n">
        <f aca="false">VLOOKUP($F46,Category!$A$2:$AZ$20,19,0)</f>
        <v>0.363636363636364</v>
      </c>
      <c r="AN46" s="6" t="n">
        <f aca="false">VLOOKUP($F46,Category!$A$2:$AZ$20,21,0)</f>
        <v>0.272727272727273</v>
      </c>
      <c r="AO46" s="6" t="n">
        <f aca="false">VLOOKUP($E46,Role!$A$2:$O$9,5,0)</f>
        <v>0.666</v>
      </c>
      <c r="AP46" s="6" t="n">
        <f aca="false">VLOOKUP($F46,Category!$A$2:$AZ$20,9,0)</f>
        <v>0.444444444444444</v>
      </c>
      <c r="AQ46" s="6" t="n">
        <f aca="false">VLOOKUP($F46,Category!$A$2:$AZ$20,11,0)</f>
        <v>0.666666666666667</v>
      </c>
      <c r="AR46" s="6" t="n">
        <f aca="false">VLOOKUP($F46,Category!$A$2:$AZ$20,10,0)</f>
        <v>1.11111111111111</v>
      </c>
      <c r="AS46" s="6" t="n">
        <f aca="false">VLOOKUP($E46,Role!$A$2:$O$9,4,0)</f>
        <v>0.666</v>
      </c>
      <c r="AT46" s="7" t="n">
        <f aca="false">VLOOKUP($F46,Category!$A$2:$AZ$20,14,0)</f>
        <v>0.333333333333333</v>
      </c>
      <c r="AU46" s="7" t="n">
        <f aca="false">VLOOKUP($F46,Category!$A$2:$AZ$20,16,0)</f>
        <v>0.25</v>
      </c>
      <c r="AV46" s="7" t="n">
        <f aca="false">VLOOKUP($D46,Size!$A$2:$Z$14,17,0)</f>
        <v>2</v>
      </c>
      <c r="AW46" s="7" t="n">
        <f aca="false">VLOOKUP($E46,Role!$A$2:$O$9,3,0)</f>
        <v>0.666</v>
      </c>
      <c r="AX46" s="7" t="n">
        <f aca="false">VLOOKUP($F46,Category!$A$2:$AZ$20,29,0)</f>
        <v>0.333333333333333</v>
      </c>
      <c r="AY46" s="7" t="n">
        <f aca="false">VLOOKUP($F46,Category!$A$2:$AZ$20,31,0)</f>
        <v>0.416666666666667</v>
      </c>
      <c r="AZ46" s="7" t="n">
        <f aca="false">VLOOKUP($D46,Size!$A$2:$Z$14,16,0)</f>
        <v>5</v>
      </c>
      <c r="BA46" s="7" t="n">
        <f aca="false">VLOOKUP($E46,Role!$A$2:$O$9,2,0)</f>
        <v>0.666</v>
      </c>
      <c r="BC46" s="7" t="n">
        <f aca="false">VLOOKUP($D46,Size!$A$2:$Z$14,19,0)</f>
        <v>18</v>
      </c>
      <c r="BD46" s="7" t="n">
        <f aca="false">VLOOKUP($D46,Size!$A$2:$Z$14,20,0)</f>
        <v>4</v>
      </c>
      <c r="BE46" s="7" t="n">
        <f aca="false">VLOOKUP($E46,Role!$A$2:$O$9,12,0)</f>
        <v>1.25</v>
      </c>
      <c r="BF46" s="7" t="n">
        <f aca="false">VLOOKUP($C46,Type!$A$2:$B$4,2,0)</f>
        <v>1</v>
      </c>
      <c r="BG46" s="7" t="n">
        <f aca="false">VLOOKUP($D46,Size!$A$2:$Z$14,18,0)</f>
        <v>31.2018765062488</v>
      </c>
      <c r="BH46" s="7" t="n">
        <f aca="false">INT($BF46*$BG46*$BE46*$B46/2)</f>
        <v>78</v>
      </c>
      <c r="BI46" s="7" t="n">
        <f aca="false">INT(($BC46*$BF46)+($I46*$BD46))</f>
        <v>42</v>
      </c>
      <c r="BJ46" s="7" t="n">
        <f aca="false">INT((($I46*$BE46)+$BC46)*$BF46)</f>
        <v>25</v>
      </c>
      <c r="BK46" s="14"/>
      <c r="BL46" s="7" t="n">
        <f aca="false">VLOOKUP($E46,Role!$A$2:$O$9,13,0)</f>
        <v>1.25</v>
      </c>
      <c r="BM46" s="7" t="n">
        <f aca="false">VLOOKUP($E46,Role!$A$2:$O$9,11,0)</f>
        <v>0.666</v>
      </c>
      <c r="BO46" s="7" t="n">
        <f aca="false">VLOOKUP($E46,Role!$A$2:$O$9,8,0)</f>
        <v>0.75</v>
      </c>
      <c r="BP46" s="7" t="n">
        <f aca="false">VLOOKUP($E46,Role!$A$2:$O$9,9,0)</f>
        <v>0.75</v>
      </c>
      <c r="BQ46" s="7" t="n">
        <f aca="false">VLOOKUP($E46,Role!$A$2:$O$9,10,0)</f>
        <v>0.5</v>
      </c>
    </row>
    <row r="47" customFormat="false" ht="12.8" hidden="false" customHeight="false" outlineLevel="0" collapsed="false">
      <c r="B47" s="2" t="n">
        <v>4</v>
      </c>
      <c r="C47" s="3" t="s">
        <v>63</v>
      </c>
      <c r="D47" s="1" t="s">
        <v>88</v>
      </c>
      <c r="E47" s="1" t="s">
        <v>70</v>
      </c>
      <c r="F47" s="1" t="s">
        <v>76</v>
      </c>
      <c r="G47" s="1" t="s">
        <v>67</v>
      </c>
      <c r="H47" s="4" t="n">
        <f aca="false">VLOOKUP($D47,Size!$A$2:$Z$14,6,0)</f>
        <v>6</v>
      </c>
      <c r="I47" s="13" t="n">
        <f aca="false">INT(($B47*$AZ47*$AX47*$BA47)+($B47*$AY47))</f>
        <v>6</v>
      </c>
      <c r="J47" s="4" t="n">
        <f aca="false">ROUND((($B47*$AT47)+($AV47*$AU47))*$AW47,0)</f>
        <v>1</v>
      </c>
      <c r="K47" s="4" t="n">
        <f aca="false">ROUND((($B47*$AP47)+($B47*$AQ47))*$AS47,0)</f>
        <v>3</v>
      </c>
      <c r="L47" s="4" t="n">
        <f aca="false">ROUND((($B47*$AM47)+($B47*$AN47))*$AO47,0)</f>
        <v>2</v>
      </c>
      <c r="M47" s="4" t="n">
        <f aca="false">ROUND((($B47*$AG47)+($B47*$AH47))*$AI47,0)</f>
        <v>3</v>
      </c>
      <c r="N47" s="4" t="n">
        <f aca="false">ROUND((($B47*$AJ47)+($B47*$AK47))*$AL47,0)</f>
        <v>2</v>
      </c>
      <c r="O47" s="4" t="n">
        <f aca="false">INT($BO47*$B47)</f>
        <v>3</v>
      </c>
      <c r="P47" s="4" t="n">
        <f aca="false">INT($BP47*$B47)</f>
        <v>3</v>
      </c>
      <c r="Q47" s="4" t="n">
        <f aca="false">INT($BQ47*$B47*$AR47)</f>
        <v>2</v>
      </c>
      <c r="R47" s="4" t="n">
        <f aca="false">IF($R$1="WT/G",INT(POWER($BH47*$BJ47*$BI47,0.333333)),0)+IF($R$1="WT/A",INT(($BH47+$BJ47+$BI47)/3),0)+IF($R$1="WT/A2",INT(($BJ47+$BI47)/2),0)+IF($R$1="WT/W",INT(($BH47+$BJ47+$BJ47+$BI47)/4),0)+IF($R$1="WT/W2",INT(($BH47+$BJ47+$BI47+$BI47)/4),0)+IF($R$1="WT/N",INT(MIN($BH47,$BJ47,$BI47)),0)+IF($R$1="WT/M",INT(MAX($BH47,$BJ47,$BI47)),0)+IF($R$1="WT/1",INT($BH47),0)+IF($R$1="WT/2",INT($BI47),0)+IF($R$1="WT/3",INT($BJ47),0)</f>
        <v>55</v>
      </c>
      <c r="S47" s="4" t="n">
        <f aca="false">INT((10+$M47)*$BL47)</f>
        <v>16</v>
      </c>
      <c r="T47" s="4" t="n">
        <f aca="false">INT($I47*$BM47*$BF47)</f>
        <v>3</v>
      </c>
      <c r="U47" s="2" t="n">
        <f aca="false">ROUND(MAX($J47,$L47)+(MIN($J47,$L47)*$X47),0)</f>
        <v>3</v>
      </c>
      <c r="V47" s="2" t="n">
        <f aca="false">MAX(1,INT(((MIN($I47:$J47)+(MAX($I47:$J47)*$H47*$Y47)))*$Z47))</f>
        <v>37</v>
      </c>
      <c r="X47" s="5" t="n">
        <f aca="false">VLOOKUP($E47,Role!$A$2:$O$9,14,0)</f>
        <v>1</v>
      </c>
      <c r="Y47" s="5" t="n">
        <f aca="false">VLOOKUP($E47,Role!$A$2:$O$9,15,0)</f>
        <v>1</v>
      </c>
      <c r="Z47" s="5" t="n">
        <f aca="false">VLOOKUP($G47,Movement!$A$2:$C$7,3,0)</f>
        <v>1</v>
      </c>
      <c r="AB47" s="5" t="n">
        <f aca="false">INT(5+(($H47-1)/3))</f>
        <v>6</v>
      </c>
      <c r="AC47" s="5" t="n">
        <f aca="false">IF($AB47&lt;$I47,$I47-MAX($AB47,$B47),0)</f>
        <v>0</v>
      </c>
      <c r="AD47" s="5" t="n">
        <f aca="false">(5-ROUND(($H47-1)/3,0))</f>
        <v>3</v>
      </c>
      <c r="AE47" s="5" t="n">
        <f aca="false">IF($AD47&lt;$J47,$J47-MAX($AD47,$B47),0)</f>
        <v>0</v>
      </c>
      <c r="AG47" s="6" t="n">
        <f aca="false">VLOOKUP($F47,Category!$A$2:$AZ$20,24,0)</f>
        <v>0</v>
      </c>
      <c r="AH47" s="6" t="n">
        <f aca="false">VLOOKUP($F47,Category!$A$2:$AZ$20,26,0)</f>
        <v>1.11111111111111</v>
      </c>
      <c r="AI47" s="6" t="n">
        <f aca="false">VLOOKUP($E47,Role!$A$2:$O$9,6,0)</f>
        <v>0.666</v>
      </c>
      <c r="AJ47" s="6" t="n">
        <f aca="false">VLOOKUP($F47,Category!$A$2:$AZ$20,19,0)</f>
        <v>0.363636363636364</v>
      </c>
      <c r="AK47" s="6" t="n">
        <f aca="false">VLOOKUP($F47,Category!$A$2:$AZ$20,21,0)</f>
        <v>0.272727272727273</v>
      </c>
      <c r="AL47" s="6" t="n">
        <f aca="false">VLOOKUP($E47,Role!$A$2:$O$9,7,0)</f>
        <v>0.666</v>
      </c>
      <c r="AM47" s="6" t="n">
        <f aca="false">VLOOKUP($F47,Category!$A$2:$AZ$20,19,0)</f>
        <v>0.363636363636364</v>
      </c>
      <c r="AN47" s="6" t="n">
        <f aca="false">VLOOKUP($F47,Category!$A$2:$AZ$20,21,0)</f>
        <v>0.272727272727273</v>
      </c>
      <c r="AO47" s="6" t="n">
        <f aca="false">VLOOKUP($E47,Role!$A$2:$O$9,5,0)</f>
        <v>0.666</v>
      </c>
      <c r="AP47" s="6" t="n">
        <f aca="false">VLOOKUP($F47,Category!$A$2:$AZ$20,9,0)</f>
        <v>0.444444444444444</v>
      </c>
      <c r="AQ47" s="6" t="n">
        <f aca="false">VLOOKUP($F47,Category!$A$2:$AZ$20,11,0)</f>
        <v>0.666666666666667</v>
      </c>
      <c r="AR47" s="6" t="n">
        <f aca="false">VLOOKUP($F47,Category!$A$2:$AZ$20,10,0)</f>
        <v>1.11111111111111</v>
      </c>
      <c r="AS47" s="6" t="n">
        <f aca="false">VLOOKUP($E47,Role!$A$2:$O$9,4,0)</f>
        <v>0.666</v>
      </c>
      <c r="AT47" s="7" t="n">
        <f aca="false">VLOOKUP($F47,Category!$A$2:$AZ$20,14,0)</f>
        <v>0.333333333333333</v>
      </c>
      <c r="AU47" s="7" t="n">
        <f aca="false">VLOOKUP($F47,Category!$A$2:$AZ$20,16,0)</f>
        <v>0.25</v>
      </c>
      <c r="AV47" s="7" t="n">
        <f aca="false">VLOOKUP($D47,Size!$A$2:$Z$14,17,0)</f>
        <v>2</v>
      </c>
      <c r="AW47" s="7" t="n">
        <f aca="false">VLOOKUP($E47,Role!$A$2:$O$9,3,0)</f>
        <v>0.666</v>
      </c>
      <c r="AX47" s="7" t="n">
        <f aca="false">VLOOKUP($F47,Category!$A$2:$AZ$20,29,0)</f>
        <v>0.333333333333333</v>
      </c>
      <c r="AY47" s="7" t="n">
        <f aca="false">VLOOKUP($F47,Category!$A$2:$AZ$20,31,0)</f>
        <v>0.416666666666667</v>
      </c>
      <c r="AZ47" s="7" t="n">
        <f aca="false">VLOOKUP($D47,Size!$A$2:$Z$14,16,0)</f>
        <v>5</v>
      </c>
      <c r="BA47" s="7" t="n">
        <f aca="false">VLOOKUP($E47,Role!$A$2:$O$9,2,0)</f>
        <v>0.666</v>
      </c>
      <c r="BC47" s="7" t="n">
        <f aca="false">VLOOKUP($D47,Size!$A$2:$Z$14,19,0)</f>
        <v>20</v>
      </c>
      <c r="BD47" s="7" t="n">
        <f aca="false">VLOOKUP($D47,Size!$A$2:$Z$14,20,0)</f>
        <v>5</v>
      </c>
      <c r="BE47" s="7" t="n">
        <f aca="false">VLOOKUP($E47,Role!$A$2:$O$9,12,0)</f>
        <v>1.25</v>
      </c>
      <c r="BF47" s="7" t="n">
        <f aca="false">VLOOKUP($C47,Type!$A$2:$B$4,2,0)</f>
        <v>1</v>
      </c>
      <c r="BG47" s="7" t="n">
        <f aca="false">VLOOKUP($D47,Size!$A$2:$Z$14,18,0)</f>
        <v>38.7177346253629</v>
      </c>
      <c r="BH47" s="7" t="n">
        <f aca="false">INT($BF47*$BG47*$BE47*$B47/2)</f>
        <v>96</v>
      </c>
      <c r="BI47" s="7" t="n">
        <f aca="false">INT(($BC47*$BF47)+($I47*$BD47))</f>
        <v>50</v>
      </c>
      <c r="BJ47" s="7" t="n">
        <f aca="false">INT((($I47*$BE47)+$BC47)*$BF47)</f>
        <v>27</v>
      </c>
      <c r="BK47" s="14"/>
      <c r="BL47" s="7" t="n">
        <f aca="false">VLOOKUP($E47,Role!$A$2:$O$9,13,0)</f>
        <v>1.25</v>
      </c>
      <c r="BM47" s="7" t="n">
        <f aca="false">VLOOKUP($E47,Role!$A$2:$O$9,11,0)</f>
        <v>0.666</v>
      </c>
      <c r="BO47" s="7" t="n">
        <f aca="false">VLOOKUP($E47,Role!$A$2:$O$9,8,0)</f>
        <v>0.75</v>
      </c>
      <c r="BP47" s="7" t="n">
        <f aca="false">VLOOKUP($E47,Role!$A$2:$O$9,9,0)</f>
        <v>0.75</v>
      </c>
      <c r="BQ47" s="7" t="n">
        <f aca="false">VLOOKUP($E47,Role!$A$2:$O$9,10,0)</f>
        <v>0.5</v>
      </c>
    </row>
    <row r="48" customFormat="false" ht="12.8" hidden="false" customHeight="false" outlineLevel="0" collapsed="false">
      <c r="B48" s="2" t="n">
        <v>4</v>
      </c>
      <c r="C48" s="3" t="s">
        <v>63</v>
      </c>
      <c r="D48" s="1" t="s">
        <v>89</v>
      </c>
      <c r="E48" s="1" t="s">
        <v>70</v>
      </c>
      <c r="F48" s="1" t="s">
        <v>76</v>
      </c>
      <c r="G48" s="1" t="s">
        <v>67</v>
      </c>
      <c r="H48" s="4" t="n">
        <f aca="false">VLOOKUP($D48,Size!$A$2:$Z$14,6,0)</f>
        <v>7</v>
      </c>
      <c r="I48" s="13" t="n">
        <f aca="false">INT(($B48*$AZ48*$AX48*$BA48)+($B48*$AY48))</f>
        <v>6</v>
      </c>
      <c r="J48" s="4" t="n">
        <f aca="false">ROUND((($B48*$AT48)+($AV48*$AU48))*$AW48,0)</f>
        <v>1</v>
      </c>
      <c r="K48" s="4" t="n">
        <f aca="false">ROUND((($B48*$AP48)+($B48*$AQ48))*$AS48,0)</f>
        <v>3</v>
      </c>
      <c r="L48" s="4" t="n">
        <f aca="false">ROUND((($B48*$AM48)+($B48*$AN48))*$AO48,0)</f>
        <v>2</v>
      </c>
      <c r="M48" s="4" t="n">
        <f aca="false">ROUND((($B48*$AG48)+($B48*$AH48))*$AI48,0)</f>
        <v>3</v>
      </c>
      <c r="N48" s="4" t="n">
        <f aca="false">ROUND((($B48*$AJ48)+($B48*$AK48))*$AL48,0)</f>
        <v>2</v>
      </c>
      <c r="O48" s="4" t="n">
        <f aca="false">INT($BO48*$B48)</f>
        <v>3</v>
      </c>
      <c r="P48" s="4" t="n">
        <f aca="false">INT($BP48*$B48)</f>
        <v>3</v>
      </c>
      <c r="Q48" s="4" t="n">
        <f aca="false">INT($BQ48*$B48*$AR48)</f>
        <v>2</v>
      </c>
      <c r="R48" s="4" t="n">
        <f aca="false">IF($R$1="WT/G",INT(POWER($BH48*$BJ48*$BI48,0.333333)),0)+IF($R$1="WT/A",INT(($BH48+$BJ48+$BI48)/3),0)+IF($R$1="WT/A2",INT(($BJ48+$BI48)/2),0)+IF($R$1="WT/W",INT(($BH48+$BJ48+$BJ48+$BI48)/4),0)+IF($R$1="WT/W2",INT(($BH48+$BJ48+$BI48+$BI48)/4),0)+IF($R$1="WT/N",INT(MIN($BH48,$BJ48,$BI48)),0)+IF($R$1="WT/M",INT(MAX($BH48,$BJ48,$BI48)),0)+IF($R$1="WT/1",INT($BH48),0)+IF($R$1="WT/2",INT($BI48),0)+IF($R$1="WT/3",INT($BJ48),0)</f>
        <v>65</v>
      </c>
      <c r="S48" s="4" t="n">
        <f aca="false">INT((10+$M48)*$BL48)</f>
        <v>16</v>
      </c>
      <c r="T48" s="4" t="n">
        <f aca="false">INT($I48*$BM48*$BF48)</f>
        <v>3</v>
      </c>
      <c r="U48" s="2" t="n">
        <f aca="false">ROUND(MAX($J48,$L48)+(MIN($J48,$L48)*$X48),0)</f>
        <v>3</v>
      </c>
      <c r="V48" s="2" t="n">
        <f aca="false">MAX(1,INT(((MIN($I48:$J48)+(MAX($I48:$J48)*$H48*$Y48)))*$Z48))</f>
        <v>43</v>
      </c>
      <c r="X48" s="5" t="n">
        <f aca="false">VLOOKUP($E48,Role!$A$2:$O$9,14,0)</f>
        <v>1</v>
      </c>
      <c r="Y48" s="5" t="n">
        <f aca="false">VLOOKUP($E48,Role!$A$2:$O$9,15,0)</f>
        <v>1</v>
      </c>
      <c r="Z48" s="5" t="n">
        <f aca="false">VLOOKUP($G48,Movement!$A$2:$C$7,3,0)</f>
        <v>1</v>
      </c>
      <c r="AB48" s="5" t="n">
        <f aca="false">INT(5+(($H48-1)/3))</f>
        <v>7</v>
      </c>
      <c r="AC48" s="5" t="n">
        <f aca="false">IF($AB48&lt;$I48,$I48-MAX($AB48,$B48),0)</f>
        <v>0</v>
      </c>
      <c r="AD48" s="5" t="n">
        <f aca="false">(5-ROUND(($H48-1)/3,0))</f>
        <v>3</v>
      </c>
      <c r="AE48" s="5" t="n">
        <f aca="false">IF($AD48&lt;$J48,$J48-MAX($AD48,$B48),0)</f>
        <v>0</v>
      </c>
      <c r="AG48" s="6" t="n">
        <f aca="false">VLOOKUP($F48,Category!$A$2:$AZ$20,24,0)</f>
        <v>0</v>
      </c>
      <c r="AH48" s="6" t="n">
        <f aca="false">VLOOKUP($F48,Category!$A$2:$AZ$20,26,0)</f>
        <v>1.11111111111111</v>
      </c>
      <c r="AI48" s="6" t="n">
        <f aca="false">VLOOKUP($E48,Role!$A$2:$O$9,6,0)</f>
        <v>0.666</v>
      </c>
      <c r="AJ48" s="6" t="n">
        <f aca="false">VLOOKUP($F48,Category!$A$2:$AZ$20,19,0)</f>
        <v>0.363636363636364</v>
      </c>
      <c r="AK48" s="6" t="n">
        <f aca="false">VLOOKUP($F48,Category!$A$2:$AZ$20,21,0)</f>
        <v>0.272727272727273</v>
      </c>
      <c r="AL48" s="6" t="n">
        <f aca="false">VLOOKUP($E48,Role!$A$2:$O$9,7,0)</f>
        <v>0.666</v>
      </c>
      <c r="AM48" s="6" t="n">
        <f aca="false">VLOOKUP($F48,Category!$A$2:$AZ$20,19,0)</f>
        <v>0.363636363636364</v>
      </c>
      <c r="AN48" s="6" t="n">
        <f aca="false">VLOOKUP($F48,Category!$A$2:$AZ$20,21,0)</f>
        <v>0.272727272727273</v>
      </c>
      <c r="AO48" s="6" t="n">
        <f aca="false">VLOOKUP($E48,Role!$A$2:$O$9,5,0)</f>
        <v>0.666</v>
      </c>
      <c r="AP48" s="6" t="n">
        <f aca="false">VLOOKUP($F48,Category!$A$2:$AZ$20,9,0)</f>
        <v>0.444444444444444</v>
      </c>
      <c r="AQ48" s="6" t="n">
        <f aca="false">VLOOKUP($F48,Category!$A$2:$AZ$20,11,0)</f>
        <v>0.666666666666667</v>
      </c>
      <c r="AR48" s="6" t="n">
        <f aca="false">VLOOKUP($F48,Category!$A$2:$AZ$20,10,0)</f>
        <v>1.11111111111111</v>
      </c>
      <c r="AS48" s="6" t="n">
        <f aca="false">VLOOKUP($E48,Role!$A$2:$O$9,4,0)</f>
        <v>0.666</v>
      </c>
      <c r="AT48" s="7" t="n">
        <f aca="false">VLOOKUP($F48,Category!$A$2:$AZ$20,14,0)</f>
        <v>0.333333333333333</v>
      </c>
      <c r="AU48" s="7" t="n">
        <f aca="false">VLOOKUP($F48,Category!$A$2:$AZ$20,16,0)</f>
        <v>0.25</v>
      </c>
      <c r="AV48" s="7" t="n">
        <f aca="false">VLOOKUP($D48,Size!$A$2:$Z$14,17,0)</f>
        <v>2</v>
      </c>
      <c r="AW48" s="7" t="n">
        <f aca="false">VLOOKUP($E48,Role!$A$2:$O$9,3,0)</f>
        <v>0.666</v>
      </c>
      <c r="AX48" s="7" t="n">
        <f aca="false">VLOOKUP($F48,Category!$A$2:$AZ$20,29,0)</f>
        <v>0.333333333333333</v>
      </c>
      <c r="AY48" s="7" t="n">
        <f aca="false">VLOOKUP($F48,Category!$A$2:$AZ$20,31,0)</f>
        <v>0.416666666666667</v>
      </c>
      <c r="AZ48" s="7" t="n">
        <f aca="false">VLOOKUP($D48,Size!$A$2:$Z$14,16,0)</f>
        <v>5</v>
      </c>
      <c r="BA48" s="7" t="n">
        <f aca="false">VLOOKUP($E48,Role!$A$2:$O$9,2,0)</f>
        <v>0.666</v>
      </c>
      <c r="BC48" s="7" t="n">
        <f aca="false">VLOOKUP($D48,Size!$A$2:$Z$14,19,0)</f>
        <v>22</v>
      </c>
      <c r="BD48" s="7" t="n">
        <f aca="false">VLOOKUP($D48,Size!$A$2:$Z$14,20,0)</f>
        <v>6</v>
      </c>
      <c r="BE48" s="7" t="n">
        <f aca="false">VLOOKUP($E48,Role!$A$2:$O$9,12,0)</f>
        <v>1.25</v>
      </c>
      <c r="BF48" s="7" t="n">
        <f aca="false">VLOOKUP($C48,Type!$A$2:$B$4,2,0)</f>
        <v>1</v>
      </c>
      <c r="BG48" s="7" t="n">
        <f aca="false">VLOOKUP($D48,Size!$A$2:$Z$14,18,0)</f>
        <v>46.4833054890161</v>
      </c>
      <c r="BH48" s="7" t="n">
        <f aca="false">INT($BF48*$BG48*$BE48*$B48/2)</f>
        <v>116</v>
      </c>
      <c r="BI48" s="7" t="n">
        <f aca="false">INT(($BC48*$BF48)+($I48*$BD48))</f>
        <v>58</v>
      </c>
      <c r="BJ48" s="7" t="n">
        <f aca="false">INT((($I48*$BE48)+$BC48)*$BF48)</f>
        <v>29</v>
      </c>
      <c r="BK48" s="14"/>
      <c r="BL48" s="7" t="n">
        <f aca="false">VLOOKUP($E48,Role!$A$2:$O$9,13,0)</f>
        <v>1.25</v>
      </c>
      <c r="BM48" s="7" t="n">
        <f aca="false">VLOOKUP($E48,Role!$A$2:$O$9,11,0)</f>
        <v>0.666</v>
      </c>
      <c r="BO48" s="7" t="n">
        <f aca="false">VLOOKUP($E48,Role!$A$2:$O$9,8,0)</f>
        <v>0.75</v>
      </c>
      <c r="BP48" s="7" t="n">
        <f aca="false">VLOOKUP($E48,Role!$A$2:$O$9,9,0)</f>
        <v>0.75</v>
      </c>
      <c r="BQ48" s="7" t="n">
        <f aca="false">VLOOKUP($E48,Role!$A$2:$O$9,10,0)</f>
        <v>0.5</v>
      </c>
    </row>
    <row r="49" customFormat="false" ht="12.8" hidden="false" customHeight="false" outlineLevel="0" collapsed="false">
      <c r="B49" s="2" t="n">
        <v>4</v>
      </c>
      <c r="C49" s="3" t="s">
        <v>63</v>
      </c>
      <c r="D49" s="1" t="s">
        <v>90</v>
      </c>
      <c r="E49" s="1" t="s">
        <v>70</v>
      </c>
      <c r="F49" s="1" t="s">
        <v>76</v>
      </c>
      <c r="G49" s="1" t="s">
        <v>67</v>
      </c>
      <c r="H49" s="4" t="n">
        <f aca="false">VLOOKUP($D49,Size!$A$2:$Z$14,6,0)</f>
        <v>8</v>
      </c>
      <c r="I49" s="13" t="n">
        <f aca="false">INT(($B49*$AZ49*$AX49*$BA49)+($B49*$AY49))</f>
        <v>6</v>
      </c>
      <c r="J49" s="4" t="n">
        <f aca="false">ROUND((($B49*$AT49)+($AV49*$AU49))*$AW49,0)</f>
        <v>1</v>
      </c>
      <c r="K49" s="4" t="n">
        <f aca="false">ROUND((($B49*$AP49)+($B49*$AQ49))*$AS49,0)</f>
        <v>3</v>
      </c>
      <c r="L49" s="4" t="n">
        <f aca="false">ROUND((($B49*$AM49)+($B49*$AN49))*$AO49,0)</f>
        <v>2</v>
      </c>
      <c r="M49" s="4" t="n">
        <f aca="false">ROUND((($B49*$AG49)+($B49*$AH49))*$AI49,0)</f>
        <v>3</v>
      </c>
      <c r="N49" s="4" t="n">
        <f aca="false">ROUND((($B49*$AJ49)+($B49*$AK49))*$AL49,0)</f>
        <v>2</v>
      </c>
      <c r="O49" s="4" t="n">
        <f aca="false">INT($BO49*$B49)</f>
        <v>3</v>
      </c>
      <c r="P49" s="4" t="n">
        <f aca="false">INT($BP49*$B49)</f>
        <v>3</v>
      </c>
      <c r="Q49" s="4" t="n">
        <f aca="false">INT($BQ49*$B49*$AR49)</f>
        <v>2</v>
      </c>
      <c r="R49" s="4" t="n">
        <f aca="false">IF($R$1="WT/G",INT(POWER($BH49*$BJ49*$BI49,0.333333)),0)+IF($R$1="WT/A",INT(($BH49+$BJ49+$BI49)/3),0)+IF($R$1="WT/A2",INT(($BJ49+$BI49)/2),0)+IF($R$1="WT/W",INT(($BH49+$BJ49+$BJ49+$BI49)/4),0)+IF($R$1="WT/W2",INT(($BH49+$BJ49+$BI49+$BI49)/4),0)+IF($R$1="WT/N",INT(MIN($BH49,$BJ49,$BI49)),0)+IF($R$1="WT/M",INT(MAX($BH49,$BJ49,$BI49)),0)+IF($R$1="WT/1",INT($BH49),0)+IF($R$1="WT/2",INT($BI49),0)+IF($R$1="WT/3",INT($BJ49),0)</f>
        <v>75</v>
      </c>
      <c r="S49" s="4" t="n">
        <f aca="false">INT((10+$M49)*$BL49)</f>
        <v>16</v>
      </c>
      <c r="T49" s="4" t="n">
        <f aca="false">INT($I49*$BM49*$BF49)</f>
        <v>3</v>
      </c>
      <c r="U49" s="2" t="n">
        <f aca="false">ROUND(MAX($J49,$L49)+(MIN($J49,$L49)*$X49),0)</f>
        <v>3</v>
      </c>
      <c r="V49" s="2" t="n">
        <f aca="false">MAX(1,INT(((MIN($I49:$J49)+(MAX($I49:$J49)*$H49*$Y49)))*$Z49))</f>
        <v>49</v>
      </c>
      <c r="X49" s="5" t="n">
        <f aca="false">VLOOKUP($E49,Role!$A$2:$O$9,14,0)</f>
        <v>1</v>
      </c>
      <c r="Y49" s="5" t="n">
        <f aca="false">VLOOKUP($E49,Role!$A$2:$O$9,15,0)</f>
        <v>1</v>
      </c>
      <c r="Z49" s="5" t="n">
        <f aca="false">VLOOKUP($G49,Movement!$A$2:$C$7,3,0)</f>
        <v>1</v>
      </c>
      <c r="AB49" s="5" t="n">
        <f aca="false">INT(5+(($H49-1)/3))</f>
        <v>7</v>
      </c>
      <c r="AC49" s="5" t="n">
        <f aca="false">IF($AB49&lt;$I49,$I49-MAX($AB49,$B49),0)</f>
        <v>0</v>
      </c>
      <c r="AD49" s="5" t="n">
        <f aca="false">(5-ROUND(($H49-1)/3,0))</f>
        <v>3</v>
      </c>
      <c r="AE49" s="5" t="n">
        <f aca="false">IF($AD49&lt;$J49,$J49-MAX($AD49,$B49),0)</f>
        <v>0</v>
      </c>
      <c r="AG49" s="6" t="n">
        <f aca="false">VLOOKUP($F49,Category!$A$2:$AZ$20,24,0)</f>
        <v>0</v>
      </c>
      <c r="AH49" s="6" t="n">
        <f aca="false">VLOOKUP($F49,Category!$A$2:$AZ$20,26,0)</f>
        <v>1.11111111111111</v>
      </c>
      <c r="AI49" s="6" t="n">
        <f aca="false">VLOOKUP($E49,Role!$A$2:$O$9,6,0)</f>
        <v>0.666</v>
      </c>
      <c r="AJ49" s="6" t="n">
        <f aca="false">VLOOKUP($F49,Category!$A$2:$AZ$20,19,0)</f>
        <v>0.363636363636364</v>
      </c>
      <c r="AK49" s="6" t="n">
        <f aca="false">VLOOKUP($F49,Category!$A$2:$AZ$20,21,0)</f>
        <v>0.272727272727273</v>
      </c>
      <c r="AL49" s="6" t="n">
        <f aca="false">VLOOKUP($E49,Role!$A$2:$O$9,7,0)</f>
        <v>0.666</v>
      </c>
      <c r="AM49" s="6" t="n">
        <f aca="false">VLOOKUP($F49,Category!$A$2:$AZ$20,19,0)</f>
        <v>0.363636363636364</v>
      </c>
      <c r="AN49" s="6" t="n">
        <f aca="false">VLOOKUP($F49,Category!$A$2:$AZ$20,21,0)</f>
        <v>0.272727272727273</v>
      </c>
      <c r="AO49" s="6" t="n">
        <f aca="false">VLOOKUP($E49,Role!$A$2:$O$9,5,0)</f>
        <v>0.666</v>
      </c>
      <c r="AP49" s="6" t="n">
        <f aca="false">VLOOKUP($F49,Category!$A$2:$AZ$20,9,0)</f>
        <v>0.444444444444444</v>
      </c>
      <c r="AQ49" s="6" t="n">
        <f aca="false">VLOOKUP($F49,Category!$A$2:$AZ$20,11,0)</f>
        <v>0.666666666666667</v>
      </c>
      <c r="AR49" s="6" t="n">
        <f aca="false">VLOOKUP($F49,Category!$A$2:$AZ$20,10,0)</f>
        <v>1.11111111111111</v>
      </c>
      <c r="AS49" s="6" t="n">
        <f aca="false">VLOOKUP($E49,Role!$A$2:$O$9,4,0)</f>
        <v>0.666</v>
      </c>
      <c r="AT49" s="7" t="n">
        <f aca="false">VLOOKUP($F49,Category!$A$2:$AZ$20,14,0)</f>
        <v>0.333333333333333</v>
      </c>
      <c r="AU49" s="7" t="n">
        <f aca="false">VLOOKUP($F49,Category!$A$2:$AZ$20,16,0)</f>
        <v>0.25</v>
      </c>
      <c r="AV49" s="7" t="n">
        <f aca="false">VLOOKUP($D49,Size!$A$2:$Z$14,17,0)</f>
        <v>1</v>
      </c>
      <c r="AW49" s="7" t="n">
        <f aca="false">VLOOKUP($E49,Role!$A$2:$O$9,3,0)</f>
        <v>0.666</v>
      </c>
      <c r="AX49" s="7" t="n">
        <f aca="false">VLOOKUP($F49,Category!$A$2:$AZ$20,29,0)</f>
        <v>0.333333333333333</v>
      </c>
      <c r="AY49" s="7" t="n">
        <f aca="false">VLOOKUP($F49,Category!$A$2:$AZ$20,31,0)</f>
        <v>0.416666666666667</v>
      </c>
      <c r="AZ49" s="7" t="n">
        <f aca="false">VLOOKUP($D49,Size!$A$2:$Z$14,16,0)</f>
        <v>6</v>
      </c>
      <c r="BA49" s="7" t="n">
        <f aca="false">VLOOKUP($E49,Role!$A$2:$O$9,2,0)</f>
        <v>0.666</v>
      </c>
      <c r="BC49" s="7" t="n">
        <f aca="false">VLOOKUP($D49,Size!$A$2:$Z$14,19,0)</f>
        <v>24</v>
      </c>
      <c r="BD49" s="7" t="n">
        <f aca="false">VLOOKUP($D49,Size!$A$2:$Z$14,20,0)</f>
        <v>7</v>
      </c>
      <c r="BE49" s="7" t="n">
        <f aca="false">VLOOKUP($E49,Role!$A$2:$O$9,12,0)</f>
        <v>1.25</v>
      </c>
      <c r="BF49" s="7" t="n">
        <f aca="false">VLOOKUP($C49,Type!$A$2:$B$4,2,0)</f>
        <v>1</v>
      </c>
      <c r="BG49" s="7" t="n">
        <f aca="false">VLOOKUP($D49,Size!$A$2:$Z$14,18,0)</f>
        <v>55.5397251732031</v>
      </c>
      <c r="BH49" s="7" t="n">
        <f aca="false">INT($BF49*$BG49*$BE49*$B49/2)</f>
        <v>138</v>
      </c>
      <c r="BI49" s="7" t="n">
        <f aca="false">INT(($BC49*$BF49)+($I49*$BD49))</f>
        <v>66</v>
      </c>
      <c r="BJ49" s="7" t="n">
        <f aca="false">INT((($I49*$BE49)+$BC49)*$BF49)</f>
        <v>31</v>
      </c>
      <c r="BK49" s="14"/>
      <c r="BL49" s="7" t="n">
        <f aca="false">VLOOKUP($E49,Role!$A$2:$O$9,13,0)</f>
        <v>1.25</v>
      </c>
      <c r="BM49" s="7" t="n">
        <f aca="false">VLOOKUP($E49,Role!$A$2:$O$9,11,0)</f>
        <v>0.666</v>
      </c>
      <c r="BO49" s="7" t="n">
        <f aca="false">VLOOKUP($E49,Role!$A$2:$O$9,8,0)</f>
        <v>0.75</v>
      </c>
      <c r="BP49" s="7" t="n">
        <f aca="false">VLOOKUP($E49,Role!$A$2:$O$9,9,0)</f>
        <v>0.75</v>
      </c>
      <c r="BQ49" s="7" t="n">
        <f aca="false">VLOOKUP($E49,Role!$A$2:$O$9,10,0)</f>
        <v>0.5</v>
      </c>
    </row>
    <row r="50" customFormat="false" ht="12.8" hidden="false" customHeight="false" outlineLevel="0" collapsed="false">
      <c r="C50" s="3" t="s">
        <v>63</v>
      </c>
      <c r="E50" s="1" t="s">
        <v>70</v>
      </c>
      <c r="H50" s="4" t="e">
        <f aca="false">VLOOKUP($D50,Size!$A$2:$Z$14,6,0)</f>
        <v>#N/A</v>
      </c>
      <c r="I50" s="13" t="e">
        <f aca="false">INT(($B50*$AZ50*$AX50*$BA50)+($B50*$AY50))</f>
        <v>#N/A</v>
      </c>
      <c r="J50" s="4" t="e">
        <f aca="false">ROUND((($B50*$AT50)+($AV50*$AU50))*$AW50,0)</f>
        <v>#N/A</v>
      </c>
      <c r="K50" s="4" t="e">
        <f aca="false">ROUND((($B50*$AP50)+($B50*$AQ50))*$AS50,0)</f>
        <v>#N/A</v>
      </c>
      <c r="L50" s="4" t="e">
        <f aca="false">ROUND((($B50*$AM50)+($B50*$AN50))*$AO50,0)</f>
        <v>#N/A</v>
      </c>
      <c r="M50" s="4" t="e">
        <f aca="false">ROUND((($B50*$AG50)+($B50*$AH50))*$AI50,0)</f>
        <v>#N/A</v>
      </c>
      <c r="N50" s="4" t="e">
        <f aca="false">ROUND((($B50*$AJ50)+($B50*$AK50))*$AL50,0)</f>
        <v>#N/A</v>
      </c>
      <c r="O50" s="4" t="n">
        <f aca="false">INT($BO50*$B50)</f>
        <v>0</v>
      </c>
      <c r="P50" s="4" t="n">
        <f aca="false">INT($BP50*$B50)</f>
        <v>0</v>
      </c>
      <c r="Q50" s="4" t="e">
        <f aca="false">INT($BQ50*$B50*$AR50)</f>
        <v>#N/A</v>
      </c>
      <c r="R50" s="4" t="e">
        <f aca="false">IF($R$1="WT/G",INT(POWER($BH50*$BJ50*$BI50,0.333333)),0)+IF($R$1="WT/A",INT(($BH50+$BJ50+$BI50)/3),0)+IF($R$1="WT/A2",INT(($BJ50+$BI50)/2),0)+IF($R$1="WT/W",INT(($BH50+$BJ50+$BJ50+$BI50)/4),0)+IF($R$1="WT/W2",INT(($BH50+$BJ50+$BI50+$BI50)/4),0)+IF($R$1="WT/N",INT(MIN($BH50,$BJ50,$BI50)),0)+IF($R$1="WT/M",INT(MAX($BH50,$BJ50,$BI50)),0)+IF($R$1="WT/1",INT($BH50),0)+IF($R$1="WT/2",INT($BI50),0)+IF($R$1="WT/3",INT($BJ50),0)</f>
        <v>#N/A</v>
      </c>
      <c r="S50" s="4" t="e">
        <f aca="false">INT((10+$M50)*$BL50)</f>
        <v>#N/A</v>
      </c>
      <c r="T50" s="4" t="e">
        <f aca="false">INT($I50*$BM50*$BF50)</f>
        <v>#N/A</v>
      </c>
      <c r="U50" s="2" t="e">
        <f aca="false">ROUND(MAX($J50,$L50)+(MIN($J50,$L50)*$X50),0)</f>
        <v>#N/A</v>
      </c>
      <c r="V50" s="2" t="e">
        <f aca="false">MAX(1,INT(((MIN($I50:$J50)+(MAX($I50:$J50)*$H50*$Y50)))*$Z50))</f>
        <v>#N/A</v>
      </c>
      <c r="X50" s="5" t="n">
        <f aca="false">VLOOKUP($E50,Role!$A$2:$O$9,14,0)</f>
        <v>1</v>
      </c>
      <c r="Y50" s="5" t="n">
        <f aca="false">VLOOKUP($E50,Role!$A$2:$O$9,15,0)</f>
        <v>1</v>
      </c>
      <c r="Z50" s="5" t="e">
        <f aca="false">VLOOKUP($G50,Movement!$A$2:$C$7,3,0)</f>
        <v>#N/A</v>
      </c>
      <c r="AB50" s="5" t="e">
        <f aca="false">INT(5+(($H50-1)/3))</f>
        <v>#N/A</v>
      </c>
      <c r="AC50" s="5" t="e">
        <f aca="false">IF($AB50&lt;$I50,$I50-MAX($AB50,$B50),0)</f>
        <v>#N/A</v>
      </c>
      <c r="AD50" s="5" t="e">
        <f aca="false">(5-ROUND(($H50-1)/3,0))</f>
        <v>#N/A</v>
      </c>
      <c r="AE50" s="5" t="e">
        <f aca="false">IF($AD50&lt;$J50,$J50-MAX($AD50,$B50),0)</f>
        <v>#N/A</v>
      </c>
      <c r="AG50" s="6" t="e">
        <f aca="false">VLOOKUP($F50,Category!$A$2:$AZ$20,24,0)</f>
        <v>#N/A</v>
      </c>
      <c r="AH50" s="6" t="e">
        <f aca="false">VLOOKUP($F50,Category!$A$2:$AZ$20,26,0)</f>
        <v>#N/A</v>
      </c>
      <c r="AI50" s="6" t="n">
        <f aca="false">VLOOKUP($E50,Role!$A$2:$O$9,6,0)</f>
        <v>0.666</v>
      </c>
      <c r="AJ50" s="6" t="e">
        <f aca="false">VLOOKUP($F50,Category!$A$2:$AZ$20,19,0)</f>
        <v>#N/A</v>
      </c>
      <c r="AK50" s="6" t="e">
        <f aca="false">VLOOKUP($F50,Category!$A$2:$AZ$20,21,0)</f>
        <v>#N/A</v>
      </c>
      <c r="AL50" s="6" t="n">
        <f aca="false">VLOOKUP($E50,Role!$A$2:$O$9,7,0)</f>
        <v>0.666</v>
      </c>
      <c r="AM50" s="6" t="e">
        <f aca="false">VLOOKUP($F50,Category!$A$2:$AZ$20,19,0)</f>
        <v>#N/A</v>
      </c>
      <c r="AN50" s="6" t="e">
        <f aca="false">VLOOKUP($F50,Category!$A$2:$AZ$20,21,0)</f>
        <v>#N/A</v>
      </c>
      <c r="AO50" s="6" t="n">
        <f aca="false">VLOOKUP($E50,Role!$A$2:$O$9,5,0)</f>
        <v>0.666</v>
      </c>
      <c r="AP50" s="6" t="e">
        <f aca="false">VLOOKUP($F50,Category!$A$2:$AZ$20,9,0)</f>
        <v>#N/A</v>
      </c>
      <c r="AQ50" s="6" t="e">
        <f aca="false">VLOOKUP($F50,Category!$A$2:$AZ$20,11,0)</f>
        <v>#N/A</v>
      </c>
      <c r="AR50" s="6" t="e">
        <f aca="false">VLOOKUP($F50,Category!$A$2:$AZ$20,10,0)</f>
        <v>#N/A</v>
      </c>
      <c r="AS50" s="6" t="n">
        <f aca="false">VLOOKUP($E50,Role!$A$2:$O$9,4,0)</f>
        <v>0.666</v>
      </c>
      <c r="AT50" s="7" t="e">
        <f aca="false">VLOOKUP($F50,Category!$A$2:$AZ$20,14,0)</f>
        <v>#N/A</v>
      </c>
      <c r="AU50" s="7" t="e">
        <f aca="false">VLOOKUP($F50,Category!$A$2:$AZ$20,16,0)</f>
        <v>#N/A</v>
      </c>
      <c r="AV50" s="7" t="e">
        <f aca="false">VLOOKUP($D50,Size!$A$2:$Z$14,17,0)</f>
        <v>#N/A</v>
      </c>
      <c r="AW50" s="7" t="n">
        <f aca="false">VLOOKUP($E50,Role!$A$2:$O$9,3,0)</f>
        <v>0.666</v>
      </c>
      <c r="AX50" s="7" t="e">
        <f aca="false">VLOOKUP($F50,Category!$A$2:$AZ$20,29,0)</f>
        <v>#N/A</v>
      </c>
      <c r="AY50" s="7" t="e">
        <f aca="false">VLOOKUP($F50,Category!$A$2:$AZ$20,31,0)</f>
        <v>#N/A</v>
      </c>
      <c r="AZ50" s="7" t="e">
        <f aca="false">VLOOKUP($D50,Size!$A$2:$Z$14,16,0)</f>
        <v>#N/A</v>
      </c>
      <c r="BA50" s="7" t="n">
        <f aca="false">VLOOKUP($E50,Role!$A$2:$O$9,2,0)</f>
        <v>0.666</v>
      </c>
      <c r="BC50" s="7" t="e">
        <f aca="false">VLOOKUP($D50,Size!$A$2:$Z$14,19,0)</f>
        <v>#N/A</v>
      </c>
      <c r="BD50" s="7" t="e">
        <f aca="false">VLOOKUP($D50,Size!$A$2:$Z$14,20,0)</f>
        <v>#N/A</v>
      </c>
      <c r="BE50" s="7" t="n">
        <f aca="false">VLOOKUP($E50,Role!$A$2:$O$9,12,0)</f>
        <v>1.25</v>
      </c>
      <c r="BF50" s="7" t="n">
        <f aca="false">VLOOKUP($C50,Type!$A$2:$B$4,2,0)</f>
        <v>1</v>
      </c>
      <c r="BG50" s="7" t="e">
        <f aca="false">VLOOKUP($D50,Size!$A$2:$Z$14,18,0)</f>
        <v>#N/A</v>
      </c>
      <c r="BH50" s="7" t="e">
        <f aca="false">INT($BF50*$BG50*$BE50*$B50/2)</f>
        <v>#N/A</v>
      </c>
      <c r="BI50" s="7" t="e">
        <f aca="false">INT(($BC50*$BF50)+($I50*$BD50))</f>
        <v>#N/A</v>
      </c>
      <c r="BJ50" s="7" t="e">
        <f aca="false">INT((($I50*$BE50)+$BC50)*$BF50)</f>
        <v>#N/A</v>
      </c>
      <c r="BK50" s="14"/>
      <c r="BL50" s="7" t="n">
        <f aca="false">VLOOKUP($E50,Role!$A$2:$O$9,13,0)</f>
        <v>1.25</v>
      </c>
      <c r="BM50" s="7" t="n">
        <f aca="false">VLOOKUP($E50,Role!$A$2:$O$9,11,0)</f>
        <v>0.666</v>
      </c>
      <c r="BO50" s="7" t="n">
        <f aca="false">VLOOKUP($E50,Role!$A$2:$O$9,8,0)</f>
        <v>0.75</v>
      </c>
      <c r="BP50" s="7" t="n">
        <f aca="false">VLOOKUP($E50,Role!$A$2:$O$9,9,0)</f>
        <v>0.75</v>
      </c>
      <c r="BQ50" s="7" t="n">
        <f aca="false">VLOOKUP($E50,Role!$A$2:$O$9,10,0)</f>
        <v>0.5</v>
      </c>
    </row>
    <row r="51" customFormat="false" ht="12.8" hidden="false" customHeight="false" outlineLevel="0" collapsed="false">
      <c r="B51" s="2" t="n">
        <v>1</v>
      </c>
      <c r="C51" s="3" t="s">
        <v>63</v>
      </c>
      <c r="D51" s="1" t="s">
        <v>78</v>
      </c>
      <c r="E51" s="1" t="s">
        <v>70</v>
      </c>
      <c r="F51" s="1" t="s">
        <v>79</v>
      </c>
      <c r="G51" s="1" t="s">
        <v>80</v>
      </c>
      <c r="H51" s="4" t="n">
        <f aca="false">VLOOKUP($D51,Size!$A$2:$Z$14,6,0)</f>
        <v>-3</v>
      </c>
      <c r="I51" s="13" t="n">
        <f aca="false">INT(($B51*$AZ51*$AX51*$BA51)+($B51*$AY51))</f>
        <v>0</v>
      </c>
      <c r="J51" s="4" t="n">
        <f aca="false">ROUND((($B51*$AT51)+($AV51*$AU51))*$AW51,0)</f>
        <v>1</v>
      </c>
      <c r="K51" s="4" t="n">
        <f aca="false">ROUND((($B51*$AP51)+($B51*$AQ51))*$AS51,0)</f>
        <v>0</v>
      </c>
      <c r="L51" s="4" t="n">
        <f aca="false">ROUND((($B51*$AM51)+($B51*$AN51))*$AO51,0)</f>
        <v>0</v>
      </c>
      <c r="M51" s="4" t="n">
        <f aca="false">ROUND((($B51*$AG51)+($B51*$AH51))*$AI51,0)</f>
        <v>0</v>
      </c>
      <c r="N51" s="4" t="n">
        <f aca="false">ROUND((($B51*$AJ51)+($B51*$AK51))*$AL51,0)</f>
        <v>0</v>
      </c>
      <c r="O51" s="4" t="n">
        <f aca="false">INT($BO51*$B51)</f>
        <v>0</v>
      </c>
      <c r="P51" s="4" t="n">
        <f aca="false">INT($BP51*$B51)</f>
        <v>0</v>
      </c>
      <c r="Q51" s="4" t="n">
        <f aca="false">INT($BQ51*$B51*$AR51)</f>
        <v>0</v>
      </c>
      <c r="R51" s="4" t="n">
        <f aca="false">IF($R$1="WT/G",INT(POWER($BH51*$BJ51*$BI51,0.333333)),0)+IF($R$1="WT/A",INT(($BH51+$BJ51+$BI51)/3),0)+IF($R$1="WT/A2",INT(($BJ51+$BI51)/2),0)+IF($R$1="WT/W",INT(($BH51+$BJ51+$BJ51+$BI51)/4),0)+IF($R$1="WT/W2",INT(($BH51+$BJ51+$BI51+$BI51)/4),0)+IF($R$1="WT/N",INT(MIN($BH51,$BJ51,$BI51)),0)+IF($R$1="WT/M",INT(MAX($BH51,$BJ51,$BI51)),0)+IF($R$1="WT/1",INT($BH51),0)+IF($R$1="WT/2",INT($BI51),0)+IF($R$1="WT/3",INT($BJ51),0)</f>
        <v>4</v>
      </c>
      <c r="S51" s="4" t="n">
        <f aca="false">INT((10+$M51)*$BL51)</f>
        <v>12</v>
      </c>
      <c r="T51" s="4" t="n">
        <f aca="false">INT($I51*$BM51*$BF51)</f>
        <v>0</v>
      </c>
      <c r="U51" s="2" t="n">
        <f aca="false">ROUND(MAX($J51,$L51)+(MIN($J51,$L51)*$X51),0)</f>
        <v>1</v>
      </c>
      <c r="V51" s="2" t="n">
        <f aca="false">MAX(1,INT(((MIN($I51:$J51)+(MAX($I51:$J51)*$H51*$Y51)))*$Z51))</f>
        <v>1</v>
      </c>
      <c r="X51" s="5" t="n">
        <f aca="false">VLOOKUP($E51,Role!$A$2:$O$9,14,0)</f>
        <v>1</v>
      </c>
      <c r="Y51" s="5" t="n">
        <f aca="false">VLOOKUP($E51,Role!$A$2:$O$9,15,0)</f>
        <v>1</v>
      </c>
      <c r="Z51" s="5" t="n">
        <f aca="false">VLOOKUP($G51,Movement!$A$2:$C$7,3,0)</f>
        <v>1.5</v>
      </c>
      <c r="AB51" s="5" t="n">
        <f aca="false">INT(5+(($H51-1)/3))</f>
        <v>3</v>
      </c>
      <c r="AC51" s="5" t="n">
        <f aca="false">IF($AB51&lt;$I51,$I51-MAX($AB51,$B51),0)</f>
        <v>0</v>
      </c>
      <c r="AD51" s="5" t="n">
        <f aca="false">(5-ROUND(($H51-1)/3,0))</f>
        <v>6</v>
      </c>
      <c r="AE51" s="5" t="n">
        <f aca="false">IF($AD51&lt;$J51,$J51-MAX($AD51,$B51),0)</f>
        <v>0</v>
      </c>
      <c r="AG51" s="6" t="n">
        <f aca="false">VLOOKUP($F51,Category!$A$2:$AZ$20,24,0)</f>
        <v>0</v>
      </c>
      <c r="AH51" s="6" t="n">
        <f aca="false">VLOOKUP($F51,Category!$A$2:$AZ$20,26,0)</f>
        <v>0.333333333333333</v>
      </c>
      <c r="AI51" s="6" t="n">
        <f aca="false">VLOOKUP($E51,Role!$A$2:$O$9,6,0)</f>
        <v>0.666</v>
      </c>
      <c r="AJ51" s="6" t="n">
        <f aca="false">VLOOKUP($F51,Category!$A$2:$AZ$20,19,0)</f>
        <v>0.0909090909090909</v>
      </c>
      <c r="AK51" s="6" t="n">
        <f aca="false">VLOOKUP($F51,Category!$A$2:$AZ$20,21,0)</f>
        <v>0.545454545454545</v>
      </c>
      <c r="AL51" s="6" t="n">
        <f aca="false">VLOOKUP($E51,Role!$A$2:$O$9,7,0)</f>
        <v>0.666</v>
      </c>
      <c r="AM51" s="6" t="n">
        <f aca="false">VLOOKUP($F51,Category!$A$2:$AZ$20,19,0)</f>
        <v>0.0909090909090909</v>
      </c>
      <c r="AN51" s="6" t="n">
        <f aca="false">VLOOKUP($F51,Category!$A$2:$AZ$20,21,0)</f>
        <v>0.545454545454545</v>
      </c>
      <c r="AO51" s="6" t="n">
        <f aca="false">VLOOKUP($E51,Role!$A$2:$O$9,5,0)</f>
        <v>0.666</v>
      </c>
      <c r="AP51" s="6" t="n">
        <f aca="false">VLOOKUP($F51,Category!$A$2:$AZ$20,9,0)</f>
        <v>0</v>
      </c>
      <c r="AQ51" s="6" t="n">
        <f aca="false">VLOOKUP($F51,Category!$A$2:$AZ$20,11,0)</f>
        <v>0.555555555555556</v>
      </c>
      <c r="AR51" s="6" t="n">
        <f aca="false">VLOOKUP($F51,Category!$A$2:$AZ$20,10,0)</f>
        <v>0.555555555555556</v>
      </c>
      <c r="AS51" s="6" t="n">
        <f aca="false">VLOOKUP($E51,Role!$A$2:$O$9,4,0)</f>
        <v>0.666</v>
      </c>
      <c r="AT51" s="7" t="n">
        <f aca="false">VLOOKUP($F51,Category!$A$2:$AZ$20,14,0)</f>
        <v>0.416666666666667</v>
      </c>
      <c r="AU51" s="7" t="n">
        <f aca="false">VLOOKUP($F51,Category!$A$2:$AZ$20,16,0)</f>
        <v>0.25</v>
      </c>
      <c r="AV51" s="7" t="n">
        <f aca="false">VLOOKUP($D51,Size!$A$2:$Z$14,17,0)</f>
        <v>4</v>
      </c>
      <c r="AW51" s="7" t="n">
        <f aca="false">VLOOKUP($E51,Role!$A$2:$O$9,3,0)</f>
        <v>0.666</v>
      </c>
      <c r="AX51" s="7" t="n">
        <f aca="false">VLOOKUP($F51,Category!$A$2:$AZ$20,29,0)</f>
        <v>0.333333333333333</v>
      </c>
      <c r="AY51" s="7" t="n">
        <f aca="false">VLOOKUP($F51,Category!$A$2:$AZ$20,31,0)</f>
        <v>0.333333333333333</v>
      </c>
      <c r="AZ51" s="7" t="n">
        <f aca="false">VLOOKUP($D51,Size!$A$2:$Z$14,16,0)</f>
        <v>1</v>
      </c>
      <c r="BA51" s="7" t="n">
        <f aca="false">VLOOKUP($E51,Role!$A$2:$O$9,2,0)</f>
        <v>0.666</v>
      </c>
      <c r="BC51" s="7" t="n">
        <f aca="false">VLOOKUP($D51,Size!$A$2:$Z$14,19,0)</f>
        <v>6</v>
      </c>
      <c r="BD51" s="7" t="n">
        <f aca="false">VLOOKUP($D51,Size!$A$2:$Z$14,20,0)</f>
        <v>0.33</v>
      </c>
      <c r="BE51" s="7" t="n">
        <f aca="false">VLOOKUP($E51,Role!$A$2:$O$9,12,0)</f>
        <v>1.25</v>
      </c>
      <c r="BF51" s="7" t="n">
        <f aca="false">VLOOKUP($C51,Type!$A$2:$B$4,2,0)</f>
        <v>1</v>
      </c>
      <c r="BG51" s="7" t="n">
        <f aca="false">VLOOKUP($D51,Size!$A$2:$Z$14,18,0)</f>
        <v>2.71683715631514</v>
      </c>
      <c r="BH51" s="7" t="n">
        <f aca="false">INT($BF51*$BG51*$BE51*$B51/2)</f>
        <v>1</v>
      </c>
      <c r="BI51" s="7" t="n">
        <f aca="false">INT(($BC51*$BF51)+($I51*$BD51))</f>
        <v>6</v>
      </c>
      <c r="BJ51" s="7" t="n">
        <f aca="false">INT((($I51*$BE51)+$BC51)*$BF51)</f>
        <v>6</v>
      </c>
      <c r="BK51" s="14"/>
      <c r="BL51" s="7" t="n">
        <f aca="false">VLOOKUP($E51,Role!$A$2:$O$9,13,0)</f>
        <v>1.25</v>
      </c>
      <c r="BM51" s="7" t="n">
        <f aca="false">VLOOKUP($E51,Role!$A$2:$O$9,11,0)</f>
        <v>0.666</v>
      </c>
      <c r="BO51" s="7" t="n">
        <f aca="false">VLOOKUP($E51,Role!$A$2:$O$9,8,0)</f>
        <v>0.75</v>
      </c>
      <c r="BP51" s="7" t="n">
        <f aca="false">VLOOKUP($E51,Role!$A$2:$O$9,9,0)</f>
        <v>0.75</v>
      </c>
      <c r="BQ51" s="7" t="n">
        <f aca="false">VLOOKUP($E51,Role!$A$2:$O$9,10,0)</f>
        <v>0.5</v>
      </c>
    </row>
    <row r="52" customFormat="false" ht="12.8" hidden="false" customHeight="false" outlineLevel="0" collapsed="false">
      <c r="B52" s="2" t="n">
        <v>1</v>
      </c>
      <c r="C52" s="3" t="s">
        <v>63</v>
      </c>
      <c r="D52" s="1" t="s">
        <v>81</v>
      </c>
      <c r="E52" s="1" t="s">
        <v>70</v>
      </c>
      <c r="F52" s="1" t="s">
        <v>79</v>
      </c>
      <c r="G52" s="1" t="s">
        <v>80</v>
      </c>
      <c r="H52" s="4" t="n">
        <f aca="false">VLOOKUP($D52,Size!$A$2:$Z$14,6,0)</f>
        <v>-2</v>
      </c>
      <c r="I52" s="13" t="n">
        <f aca="false">INT(($B52*$AZ52*$AX52*$BA52)+($B52*$AY52))</f>
        <v>0</v>
      </c>
      <c r="J52" s="4" t="n">
        <f aca="false">ROUND((($B52*$AT52)+($AV52*$AU52))*$AW52,0)</f>
        <v>1</v>
      </c>
      <c r="K52" s="4" t="n">
        <f aca="false">ROUND((($B52*$AP52)+($B52*$AQ52))*$AS52,0)</f>
        <v>0</v>
      </c>
      <c r="L52" s="4" t="n">
        <f aca="false">ROUND((($B52*$AM52)+($B52*$AN52))*$AO52,0)</f>
        <v>0</v>
      </c>
      <c r="M52" s="4" t="n">
        <f aca="false">ROUND((($B52*$AG52)+($B52*$AH52))*$AI52,0)</f>
        <v>0</v>
      </c>
      <c r="N52" s="4" t="n">
        <f aca="false">ROUND((($B52*$AJ52)+($B52*$AK52))*$AL52,0)</f>
        <v>0</v>
      </c>
      <c r="O52" s="4" t="n">
        <f aca="false">INT($BO52*$B52)</f>
        <v>0</v>
      </c>
      <c r="P52" s="4" t="n">
        <f aca="false">INT($BP52*$B52)</f>
        <v>0</v>
      </c>
      <c r="Q52" s="4" t="n">
        <f aca="false">INT($BQ52*$B52*$AR52)</f>
        <v>0</v>
      </c>
      <c r="R52" s="4" t="n">
        <f aca="false">IF($R$1="WT/G",INT(POWER($BH52*$BJ52*$BI52,0.333333)),0)+IF($R$1="WT/A",INT(($BH52+$BJ52+$BI52)/3),0)+IF($R$1="WT/A2",INT(($BJ52+$BI52)/2),0)+IF($R$1="WT/W",INT(($BH52+$BJ52+$BJ52+$BI52)/4),0)+IF($R$1="WT/W2",INT(($BH52+$BJ52+$BI52+$BI52)/4),0)+IF($R$1="WT/N",INT(MIN($BH52,$BJ52,$BI52)),0)+IF($R$1="WT/M",INT(MAX($BH52,$BJ52,$BI52)),0)+IF($R$1="WT/1",INT($BH52),0)+IF($R$1="WT/2",INT($BI52),0)+IF($R$1="WT/3",INT($BJ52),0)</f>
        <v>6</v>
      </c>
      <c r="S52" s="4" t="n">
        <f aca="false">INT((10+$M52)*$BL52)</f>
        <v>12</v>
      </c>
      <c r="T52" s="4" t="n">
        <f aca="false">INT($I52*$BM52*$BF52)</f>
        <v>0</v>
      </c>
      <c r="U52" s="2" t="n">
        <f aca="false">ROUND(MAX($J52,$L52)+(MIN($J52,$L52)*$X52),0)</f>
        <v>1</v>
      </c>
      <c r="V52" s="2" t="n">
        <f aca="false">MAX(1,INT(((MIN($I52:$J52)+(MAX($I52:$J52)*$H52*$Y52)))*$Z52))</f>
        <v>1</v>
      </c>
      <c r="X52" s="5" t="n">
        <f aca="false">VLOOKUP($E52,Role!$A$2:$O$9,14,0)</f>
        <v>1</v>
      </c>
      <c r="Y52" s="5" t="n">
        <f aca="false">VLOOKUP($E52,Role!$A$2:$O$9,15,0)</f>
        <v>1</v>
      </c>
      <c r="Z52" s="5" t="n">
        <f aca="false">VLOOKUP($G52,Movement!$A$2:$C$7,3,0)</f>
        <v>1.5</v>
      </c>
      <c r="AB52" s="5" t="n">
        <f aca="false">INT(5+(($H52-1)/3))</f>
        <v>4</v>
      </c>
      <c r="AC52" s="5" t="n">
        <f aca="false">IF($AB52&lt;$I52,$I52-MAX($AB52,$B52),0)</f>
        <v>0</v>
      </c>
      <c r="AD52" s="5" t="n">
        <f aca="false">(5-ROUND(($H52-1)/3,0))</f>
        <v>6</v>
      </c>
      <c r="AE52" s="5" t="n">
        <f aca="false">IF($AD52&lt;$J52,$J52-MAX($AD52,$B52),0)</f>
        <v>0</v>
      </c>
      <c r="AG52" s="6" t="n">
        <f aca="false">VLOOKUP($F52,Category!$A$2:$AZ$20,24,0)</f>
        <v>0</v>
      </c>
      <c r="AH52" s="6" t="n">
        <f aca="false">VLOOKUP($F52,Category!$A$2:$AZ$20,26,0)</f>
        <v>0.333333333333333</v>
      </c>
      <c r="AI52" s="6" t="n">
        <f aca="false">VLOOKUP($E52,Role!$A$2:$O$9,6,0)</f>
        <v>0.666</v>
      </c>
      <c r="AJ52" s="6" t="n">
        <f aca="false">VLOOKUP($F52,Category!$A$2:$AZ$20,19,0)</f>
        <v>0.0909090909090909</v>
      </c>
      <c r="AK52" s="6" t="n">
        <f aca="false">VLOOKUP($F52,Category!$A$2:$AZ$20,21,0)</f>
        <v>0.545454545454545</v>
      </c>
      <c r="AL52" s="6" t="n">
        <f aca="false">VLOOKUP($E52,Role!$A$2:$O$9,7,0)</f>
        <v>0.666</v>
      </c>
      <c r="AM52" s="6" t="n">
        <f aca="false">VLOOKUP($F52,Category!$A$2:$AZ$20,19,0)</f>
        <v>0.0909090909090909</v>
      </c>
      <c r="AN52" s="6" t="n">
        <f aca="false">VLOOKUP($F52,Category!$A$2:$AZ$20,21,0)</f>
        <v>0.545454545454545</v>
      </c>
      <c r="AO52" s="6" t="n">
        <f aca="false">VLOOKUP($E52,Role!$A$2:$O$9,5,0)</f>
        <v>0.666</v>
      </c>
      <c r="AP52" s="6" t="n">
        <f aca="false">VLOOKUP($F52,Category!$A$2:$AZ$20,9,0)</f>
        <v>0</v>
      </c>
      <c r="AQ52" s="6" t="n">
        <f aca="false">VLOOKUP($F52,Category!$A$2:$AZ$20,11,0)</f>
        <v>0.555555555555556</v>
      </c>
      <c r="AR52" s="6" t="n">
        <f aca="false">VLOOKUP($F52,Category!$A$2:$AZ$20,10,0)</f>
        <v>0.555555555555556</v>
      </c>
      <c r="AS52" s="6" t="n">
        <f aca="false">VLOOKUP($E52,Role!$A$2:$O$9,4,0)</f>
        <v>0.666</v>
      </c>
      <c r="AT52" s="7" t="n">
        <f aca="false">VLOOKUP($F52,Category!$A$2:$AZ$20,14,0)</f>
        <v>0.416666666666667</v>
      </c>
      <c r="AU52" s="7" t="n">
        <f aca="false">VLOOKUP($F52,Category!$A$2:$AZ$20,16,0)</f>
        <v>0.25</v>
      </c>
      <c r="AV52" s="7" t="n">
        <f aca="false">VLOOKUP($D52,Size!$A$2:$Z$14,17,0)</f>
        <v>3</v>
      </c>
      <c r="AW52" s="7" t="n">
        <f aca="false">VLOOKUP($E52,Role!$A$2:$O$9,3,0)</f>
        <v>0.666</v>
      </c>
      <c r="AX52" s="7" t="n">
        <f aca="false">VLOOKUP($F52,Category!$A$2:$AZ$20,29,0)</f>
        <v>0.333333333333333</v>
      </c>
      <c r="AY52" s="7" t="n">
        <f aca="false">VLOOKUP($F52,Category!$A$2:$AZ$20,31,0)</f>
        <v>0.333333333333333</v>
      </c>
      <c r="AZ52" s="7" t="n">
        <f aca="false">VLOOKUP($D52,Size!$A$2:$Z$14,16,0)</f>
        <v>2</v>
      </c>
      <c r="BA52" s="7" t="n">
        <f aca="false">VLOOKUP($E52,Role!$A$2:$O$9,2,0)</f>
        <v>0.666</v>
      </c>
      <c r="BC52" s="7" t="n">
        <f aca="false">VLOOKUP($D52,Size!$A$2:$Z$14,19,0)</f>
        <v>7</v>
      </c>
      <c r="BD52" s="7" t="n">
        <f aca="false">VLOOKUP($D52,Size!$A$2:$Z$14,20,0)</f>
        <v>0.5</v>
      </c>
      <c r="BE52" s="7" t="n">
        <f aca="false">VLOOKUP($E52,Role!$A$2:$O$9,12,0)</f>
        <v>1.25</v>
      </c>
      <c r="BF52" s="7" t="n">
        <f aca="false">VLOOKUP($C52,Type!$A$2:$B$4,2,0)</f>
        <v>1</v>
      </c>
      <c r="BG52" s="7" t="n">
        <f aca="false">VLOOKUP($D52,Size!$A$2:$Z$14,18,0)</f>
        <v>6.5643914849257</v>
      </c>
      <c r="BH52" s="7" t="n">
        <f aca="false">INT($BF52*$BG52*$BE52*$B52/2)</f>
        <v>4</v>
      </c>
      <c r="BI52" s="7" t="n">
        <f aca="false">INT(($BC52*$BF52)+($I52*$BD52))</f>
        <v>7</v>
      </c>
      <c r="BJ52" s="7" t="n">
        <f aca="false">INT((($I52*$BE52)+$BC52)*$BF52)</f>
        <v>7</v>
      </c>
      <c r="BK52" s="14"/>
      <c r="BL52" s="7" t="n">
        <f aca="false">VLOOKUP($E52,Role!$A$2:$O$9,13,0)</f>
        <v>1.25</v>
      </c>
      <c r="BM52" s="7" t="n">
        <f aca="false">VLOOKUP($E52,Role!$A$2:$O$9,11,0)</f>
        <v>0.666</v>
      </c>
      <c r="BO52" s="7" t="n">
        <f aca="false">VLOOKUP($E52,Role!$A$2:$O$9,8,0)</f>
        <v>0.75</v>
      </c>
      <c r="BP52" s="7" t="n">
        <f aca="false">VLOOKUP($E52,Role!$A$2:$O$9,9,0)</f>
        <v>0.75</v>
      </c>
      <c r="BQ52" s="7" t="n">
        <f aca="false">VLOOKUP($E52,Role!$A$2:$O$9,10,0)</f>
        <v>0.5</v>
      </c>
    </row>
    <row r="53" customFormat="false" ht="12.8" hidden="false" customHeight="false" outlineLevel="0" collapsed="false">
      <c r="B53" s="2" t="n">
        <v>1</v>
      </c>
      <c r="C53" s="3" t="s">
        <v>63</v>
      </c>
      <c r="D53" s="1" t="s">
        <v>82</v>
      </c>
      <c r="E53" s="1" t="s">
        <v>70</v>
      </c>
      <c r="F53" s="1" t="s">
        <v>79</v>
      </c>
      <c r="G53" s="1" t="s">
        <v>80</v>
      </c>
      <c r="H53" s="4" t="n">
        <f aca="false">VLOOKUP($D53,Size!$A$2:$Z$14,6,0)</f>
        <v>-1</v>
      </c>
      <c r="I53" s="13" t="n">
        <f aca="false">INT(($B53*$AZ53*$AX53*$BA53)+($B53*$AY53))</f>
        <v>0</v>
      </c>
      <c r="J53" s="4" t="n">
        <f aca="false">ROUND((($B53*$AT53)+($AV53*$AU53))*$AW53,0)</f>
        <v>1</v>
      </c>
      <c r="K53" s="4" t="n">
        <f aca="false">ROUND((($B53*$AP53)+($B53*$AQ53))*$AS53,0)</f>
        <v>0</v>
      </c>
      <c r="L53" s="4" t="n">
        <f aca="false">ROUND((($B53*$AM53)+($B53*$AN53))*$AO53,0)</f>
        <v>0</v>
      </c>
      <c r="M53" s="4" t="n">
        <f aca="false">ROUND((($B53*$AG53)+($B53*$AH53))*$AI53,0)</f>
        <v>0</v>
      </c>
      <c r="N53" s="4" t="n">
        <f aca="false">ROUND((($B53*$AJ53)+($B53*$AK53))*$AL53,0)</f>
        <v>0</v>
      </c>
      <c r="O53" s="4" t="n">
        <f aca="false">INT($BO53*$B53)</f>
        <v>0</v>
      </c>
      <c r="P53" s="4" t="n">
        <f aca="false">INT($BP53*$B53)</f>
        <v>0</v>
      </c>
      <c r="Q53" s="4" t="n">
        <f aca="false">INT($BQ53*$B53*$AR53)</f>
        <v>0</v>
      </c>
      <c r="R53" s="4" t="n">
        <f aca="false">IF($R$1="WT/G",INT(POWER($BH53*$BJ53*$BI53,0.333333)),0)+IF($R$1="WT/A",INT(($BH53+$BJ53+$BI53)/3),0)+IF($R$1="WT/A2",INT(($BJ53+$BI53)/2),0)+IF($R$1="WT/W",INT(($BH53+$BJ53+$BJ53+$BI53)/4),0)+IF($R$1="WT/W2",INT(($BH53+$BJ53+$BI53+$BI53)/4),0)+IF($R$1="WT/N",INT(MIN($BH53,$BJ53,$BI53)),0)+IF($R$1="WT/M",INT(MAX($BH53,$BJ53,$BI53)),0)+IF($R$1="WT/1",INT($BH53),0)+IF($R$1="WT/2",INT($BI53),0)+IF($R$1="WT/3",INT($BJ53),0)</f>
        <v>7</v>
      </c>
      <c r="S53" s="4" t="n">
        <f aca="false">INT((10+$M53)*$BL53)</f>
        <v>12</v>
      </c>
      <c r="T53" s="4" t="n">
        <f aca="false">INT($I53*$BM53*$BF53)</f>
        <v>0</v>
      </c>
      <c r="U53" s="2" t="n">
        <f aca="false">ROUND(MAX($J53,$L53)+(MIN($J53,$L53)*$X53),0)</f>
        <v>1</v>
      </c>
      <c r="V53" s="2" t="n">
        <f aca="false">MAX(1,INT(((MIN($I53:$J53)+(MAX($I53:$J53)*$H53*$Y53)))*$Z53))</f>
        <v>1</v>
      </c>
      <c r="X53" s="5" t="n">
        <f aca="false">VLOOKUP($E53,Role!$A$2:$O$9,14,0)</f>
        <v>1</v>
      </c>
      <c r="Y53" s="5" t="n">
        <f aca="false">VLOOKUP($E53,Role!$A$2:$O$9,15,0)</f>
        <v>1</v>
      </c>
      <c r="Z53" s="5" t="n">
        <f aca="false">VLOOKUP($G53,Movement!$A$2:$C$7,3,0)</f>
        <v>1.5</v>
      </c>
      <c r="AB53" s="5" t="n">
        <f aca="false">INT(5+(($H53-1)/3))</f>
        <v>4</v>
      </c>
      <c r="AC53" s="5" t="n">
        <f aca="false">IF($AB53&lt;$I53,$I53-MAX($AB53,$B53),0)</f>
        <v>0</v>
      </c>
      <c r="AD53" s="5" t="n">
        <f aca="false">(5-ROUND(($H53-1)/3,0))</f>
        <v>6</v>
      </c>
      <c r="AE53" s="5" t="n">
        <f aca="false">IF($AD53&lt;$J53,$J53-MAX($AD53,$B53),0)</f>
        <v>0</v>
      </c>
      <c r="AG53" s="6" t="n">
        <f aca="false">VLOOKUP($F53,Category!$A$2:$AZ$20,24,0)</f>
        <v>0</v>
      </c>
      <c r="AH53" s="6" t="n">
        <f aca="false">VLOOKUP($F53,Category!$A$2:$AZ$20,26,0)</f>
        <v>0.333333333333333</v>
      </c>
      <c r="AI53" s="6" t="n">
        <f aca="false">VLOOKUP($E53,Role!$A$2:$O$9,6,0)</f>
        <v>0.666</v>
      </c>
      <c r="AJ53" s="6" t="n">
        <f aca="false">VLOOKUP($F53,Category!$A$2:$AZ$20,19,0)</f>
        <v>0.0909090909090909</v>
      </c>
      <c r="AK53" s="6" t="n">
        <f aca="false">VLOOKUP($F53,Category!$A$2:$AZ$20,21,0)</f>
        <v>0.545454545454545</v>
      </c>
      <c r="AL53" s="6" t="n">
        <f aca="false">VLOOKUP($E53,Role!$A$2:$O$9,7,0)</f>
        <v>0.666</v>
      </c>
      <c r="AM53" s="6" t="n">
        <f aca="false">VLOOKUP($F53,Category!$A$2:$AZ$20,19,0)</f>
        <v>0.0909090909090909</v>
      </c>
      <c r="AN53" s="6" t="n">
        <f aca="false">VLOOKUP($F53,Category!$A$2:$AZ$20,21,0)</f>
        <v>0.545454545454545</v>
      </c>
      <c r="AO53" s="6" t="n">
        <f aca="false">VLOOKUP($E53,Role!$A$2:$O$9,5,0)</f>
        <v>0.666</v>
      </c>
      <c r="AP53" s="6" t="n">
        <f aca="false">VLOOKUP($F53,Category!$A$2:$AZ$20,9,0)</f>
        <v>0</v>
      </c>
      <c r="AQ53" s="6" t="n">
        <f aca="false">VLOOKUP($F53,Category!$A$2:$AZ$20,11,0)</f>
        <v>0.555555555555556</v>
      </c>
      <c r="AR53" s="6" t="n">
        <f aca="false">VLOOKUP($F53,Category!$A$2:$AZ$20,10,0)</f>
        <v>0.555555555555556</v>
      </c>
      <c r="AS53" s="6" t="n">
        <f aca="false">VLOOKUP($E53,Role!$A$2:$O$9,4,0)</f>
        <v>0.666</v>
      </c>
      <c r="AT53" s="7" t="n">
        <f aca="false">VLOOKUP($F53,Category!$A$2:$AZ$20,14,0)</f>
        <v>0.416666666666667</v>
      </c>
      <c r="AU53" s="7" t="n">
        <f aca="false">VLOOKUP($F53,Category!$A$2:$AZ$20,16,0)</f>
        <v>0.25</v>
      </c>
      <c r="AV53" s="7" t="n">
        <f aca="false">VLOOKUP($D53,Size!$A$2:$Z$14,17,0)</f>
        <v>3</v>
      </c>
      <c r="AW53" s="7" t="n">
        <f aca="false">VLOOKUP($E53,Role!$A$2:$O$9,3,0)</f>
        <v>0.666</v>
      </c>
      <c r="AX53" s="7" t="n">
        <f aca="false">VLOOKUP($F53,Category!$A$2:$AZ$20,29,0)</f>
        <v>0.333333333333333</v>
      </c>
      <c r="AY53" s="7" t="n">
        <f aca="false">VLOOKUP($F53,Category!$A$2:$AZ$20,31,0)</f>
        <v>0.333333333333333</v>
      </c>
      <c r="AZ53" s="7" t="n">
        <f aca="false">VLOOKUP($D53,Size!$A$2:$Z$14,16,0)</f>
        <v>2</v>
      </c>
      <c r="BA53" s="7" t="n">
        <f aca="false">VLOOKUP($E53,Role!$A$2:$O$9,2,0)</f>
        <v>0.666</v>
      </c>
      <c r="BC53" s="7" t="n">
        <f aca="false">VLOOKUP($D53,Size!$A$2:$Z$14,19,0)</f>
        <v>8</v>
      </c>
      <c r="BD53" s="7" t="n">
        <f aca="false">VLOOKUP($D53,Size!$A$2:$Z$14,20,0)</f>
        <v>0.66</v>
      </c>
      <c r="BE53" s="7" t="n">
        <f aca="false">VLOOKUP($E53,Role!$A$2:$O$9,12,0)</f>
        <v>1.25</v>
      </c>
      <c r="BF53" s="7" t="n">
        <f aca="false">VLOOKUP($C53,Type!$A$2:$B$4,2,0)</f>
        <v>1</v>
      </c>
      <c r="BG53" s="7" t="n">
        <f aca="false">VLOOKUP($D53,Size!$A$2:$Z$14,18,0)</f>
        <v>8.28567304322775</v>
      </c>
      <c r="BH53" s="7" t="n">
        <f aca="false">INT($BF53*$BG53*$BE53*$B53/2)</f>
        <v>5</v>
      </c>
      <c r="BI53" s="7" t="n">
        <f aca="false">INT(($BC53*$BF53)+($I53*$BD53))</f>
        <v>8</v>
      </c>
      <c r="BJ53" s="7" t="n">
        <f aca="false">INT((($I53*$BE53)+$BC53)*$BF53)</f>
        <v>8</v>
      </c>
      <c r="BK53" s="14"/>
      <c r="BL53" s="7" t="n">
        <f aca="false">VLOOKUP($E53,Role!$A$2:$O$9,13,0)</f>
        <v>1.25</v>
      </c>
      <c r="BM53" s="7" t="n">
        <f aca="false">VLOOKUP($E53,Role!$A$2:$O$9,11,0)</f>
        <v>0.666</v>
      </c>
      <c r="BO53" s="7" t="n">
        <f aca="false">VLOOKUP($E53,Role!$A$2:$O$9,8,0)</f>
        <v>0.75</v>
      </c>
      <c r="BP53" s="7" t="n">
        <f aca="false">VLOOKUP($E53,Role!$A$2:$O$9,9,0)</f>
        <v>0.75</v>
      </c>
      <c r="BQ53" s="7" t="n">
        <f aca="false">VLOOKUP($E53,Role!$A$2:$O$9,10,0)</f>
        <v>0.5</v>
      </c>
    </row>
    <row r="54" customFormat="false" ht="12.8" hidden="false" customHeight="false" outlineLevel="0" collapsed="false">
      <c r="B54" s="2" t="n">
        <v>1</v>
      </c>
      <c r="C54" s="3" t="s">
        <v>63</v>
      </c>
      <c r="D54" s="1" t="s">
        <v>83</v>
      </c>
      <c r="E54" s="1" t="s">
        <v>70</v>
      </c>
      <c r="F54" s="1" t="s">
        <v>79</v>
      </c>
      <c r="G54" s="1" t="s">
        <v>80</v>
      </c>
      <c r="H54" s="4" t="n">
        <f aca="false">VLOOKUP($D54,Size!$A$2:$Z$14,6,0)</f>
        <v>0</v>
      </c>
      <c r="I54" s="13" t="n">
        <f aca="false">INT(($B54*$AZ54*$AX54*$BA54)+($B54*$AY54))</f>
        <v>0</v>
      </c>
      <c r="J54" s="4" t="n">
        <f aca="false">ROUND((($B54*$AT54)+($AV54*$AU54))*$AW54,0)</f>
        <v>1</v>
      </c>
      <c r="K54" s="4" t="n">
        <f aca="false">ROUND((($B54*$AP54)+($B54*$AQ54))*$AS54,0)</f>
        <v>0</v>
      </c>
      <c r="L54" s="4" t="n">
        <f aca="false">ROUND((($B54*$AM54)+($B54*$AN54))*$AO54,0)</f>
        <v>0</v>
      </c>
      <c r="M54" s="4" t="n">
        <f aca="false">ROUND((($B54*$AG54)+($B54*$AH54))*$AI54,0)</f>
        <v>0</v>
      </c>
      <c r="N54" s="4" t="n">
        <f aca="false">ROUND((($B54*$AJ54)+($B54*$AK54))*$AL54,0)</f>
        <v>0</v>
      </c>
      <c r="O54" s="4" t="n">
        <f aca="false">INT($BO54*$B54)</f>
        <v>0</v>
      </c>
      <c r="P54" s="4" t="n">
        <f aca="false">INT($BP54*$B54)</f>
        <v>0</v>
      </c>
      <c r="Q54" s="4" t="n">
        <f aca="false">INT($BQ54*$B54*$AR54)</f>
        <v>0</v>
      </c>
      <c r="R54" s="4" t="n">
        <f aca="false">IF($R$1="WT/G",INT(POWER($BH54*$BJ54*$BI54,0.333333)),0)+IF($R$1="WT/A",INT(($BH54+$BJ54+$BI54)/3),0)+IF($R$1="WT/A2",INT(($BJ54+$BI54)/2),0)+IF($R$1="WT/W",INT(($BH54+$BJ54+$BJ54+$BI54)/4),0)+IF($R$1="WT/W2",INT(($BH54+$BJ54+$BI54+$BI54)/4),0)+IF($R$1="WT/N",INT(MIN($BH54,$BJ54,$BI54)),0)+IF($R$1="WT/M",INT(MAX($BH54,$BJ54,$BI54)),0)+IF($R$1="WT/1",INT($BH54),0)+IF($R$1="WT/2",INT($BI54),0)+IF($R$1="WT/3",INT($BJ54),0)</f>
        <v>8</v>
      </c>
      <c r="S54" s="4" t="n">
        <f aca="false">INT((10+$M54)*$BL54)</f>
        <v>12</v>
      </c>
      <c r="T54" s="4" t="n">
        <f aca="false">INT($I54*$BM54*$BF54)</f>
        <v>0</v>
      </c>
      <c r="U54" s="2" t="n">
        <f aca="false">ROUND(MAX($J54,$L54)+(MIN($J54,$L54)*$X54),0)</f>
        <v>1</v>
      </c>
      <c r="V54" s="2" t="n">
        <f aca="false">MAX(1,INT(((MIN($I54:$J54)+(MAX($I54:$J54)*$H54*$Y54)))*$Z54))</f>
        <v>1</v>
      </c>
      <c r="X54" s="5" t="n">
        <f aca="false">VLOOKUP($E54,Role!$A$2:$O$9,14,0)</f>
        <v>1</v>
      </c>
      <c r="Y54" s="5" t="n">
        <f aca="false">VLOOKUP($E54,Role!$A$2:$O$9,15,0)</f>
        <v>1</v>
      </c>
      <c r="Z54" s="5" t="n">
        <f aca="false">VLOOKUP($G54,Movement!$A$2:$C$7,3,0)</f>
        <v>1.5</v>
      </c>
      <c r="AB54" s="5" t="n">
        <f aca="false">INT(5+(($H54-1)/3))</f>
        <v>4</v>
      </c>
      <c r="AC54" s="5" t="n">
        <f aca="false">IF($AB54&lt;$I54,$I54-MAX($AB54,$B54),0)</f>
        <v>0</v>
      </c>
      <c r="AD54" s="5" t="n">
        <f aca="false">(5-ROUND(($H54-1)/3,0))</f>
        <v>5</v>
      </c>
      <c r="AE54" s="5" t="n">
        <f aca="false">IF($AD54&lt;$J54,$J54-MAX($AD54,$B54),0)</f>
        <v>0</v>
      </c>
      <c r="AG54" s="6" t="n">
        <f aca="false">VLOOKUP($F54,Category!$A$2:$AZ$20,24,0)</f>
        <v>0</v>
      </c>
      <c r="AH54" s="6" t="n">
        <f aca="false">VLOOKUP($F54,Category!$A$2:$AZ$20,26,0)</f>
        <v>0.333333333333333</v>
      </c>
      <c r="AI54" s="6" t="n">
        <f aca="false">VLOOKUP($E54,Role!$A$2:$O$9,6,0)</f>
        <v>0.666</v>
      </c>
      <c r="AJ54" s="6" t="n">
        <f aca="false">VLOOKUP($F54,Category!$A$2:$AZ$20,19,0)</f>
        <v>0.0909090909090909</v>
      </c>
      <c r="AK54" s="6" t="n">
        <f aca="false">VLOOKUP($F54,Category!$A$2:$AZ$20,21,0)</f>
        <v>0.545454545454545</v>
      </c>
      <c r="AL54" s="6" t="n">
        <f aca="false">VLOOKUP($E54,Role!$A$2:$O$9,7,0)</f>
        <v>0.666</v>
      </c>
      <c r="AM54" s="6" t="n">
        <f aca="false">VLOOKUP($F54,Category!$A$2:$AZ$20,19,0)</f>
        <v>0.0909090909090909</v>
      </c>
      <c r="AN54" s="6" t="n">
        <f aca="false">VLOOKUP($F54,Category!$A$2:$AZ$20,21,0)</f>
        <v>0.545454545454545</v>
      </c>
      <c r="AO54" s="6" t="n">
        <f aca="false">VLOOKUP($E54,Role!$A$2:$O$9,5,0)</f>
        <v>0.666</v>
      </c>
      <c r="AP54" s="6" t="n">
        <f aca="false">VLOOKUP($F54,Category!$A$2:$AZ$20,9,0)</f>
        <v>0</v>
      </c>
      <c r="AQ54" s="6" t="n">
        <f aca="false">VLOOKUP($F54,Category!$A$2:$AZ$20,11,0)</f>
        <v>0.555555555555556</v>
      </c>
      <c r="AR54" s="6" t="n">
        <f aca="false">VLOOKUP($F54,Category!$A$2:$AZ$20,10,0)</f>
        <v>0.555555555555556</v>
      </c>
      <c r="AS54" s="6" t="n">
        <f aca="false">VLOOKUP($E54,Role!$A$2:$O$9,4,0)</f>
        <v>0.666</v>
      </c>
      <c r="AT54" s="7" t="n">
        <f aca="false">VLOOKUP($F54,Category!$A$2:$AZ$20,14,0)</f>
        <v>0.416666666666667</v>
      </c>
      <c r="AU54" s="7" t="n">
        <f aca="false">VLOOKUP($F54,Category!$A$2:$AZ$20,16,0)</f>
        <v>0.25</v>
      </c>
      <c r="AV54" s="7" t="n">
        <f aca="false">VLOOKUP($D54,Size!$A$2:$Z$14,17,0)</f>
        <v>3</v>
      </c>
      <c r="AW54" s="7" t="n">
        <f aca="false">VLOOKUP($E54,Role!$A$2:$O$9,3,0)</f>
        <v>0.666</v>
      </c>
      <c r="AX54" s="7" t="n">
        <f aca="false">VLOOKUP($F54,Category!$A$2:$AZ$20,29,0)</f>
        <v>0.333333333333333</v>
      </c>
      <c r="AY54" s="7" t="n">
        <f aca="false">VLOOKUP($F54,Category!$A$2:$AZ$20,31,0)</f>
        <v>0.333333333333333</v>
      </c>
      <c r="AZ54" s="7" t="n">
        <f aca="false">VLOOKUP($D54,Size!$A$2:$Z$14,16,0)</f>
        <v>2</v>
      </c>
      <c r="BA54" s="7" t="n">
        <f aca="false">VLOOKUP($E54,Role!$A$2:$O$9,2,0)</f>
        <v>0.666</v>
      </c>
      <c r="BC54" s="7" t="n">
        <f aca="false">VLOOKUP($D54,Size!$A$2:$Z$14,19,0)</f>
        <v>9</v>
      </c>
      <c r="BD54" s="7" t="n">
        <f aca="false">VLOOKUP($D54,Size!$A$2:$Z$14,20,0)</f>
        <v>0.75</v>
      </c>
      <c r="BE54" s="7" t="n">
        <f aca="false">VLOOKUP($E54,Role!$A$2:$O$9,12,0)</f>
        <v>1.25</v>
      </c>
      <c r="BF54" s="7" t="n">
        <f aca="false">VLOOKUP($C54,Type!$A$2:$B$4,2,0)</f>
        <v>1</v>
      </c>
      <c r="BG54" s="7" t="n">
        <f aca="false">VLOOKUP($D54,Size!$A$2:$Z$14,18,0)</f>
        <v>10.0928271821888</v>
      </c>
      <c r="BH54" s="7" t="n">
        <f aca="false">INT($BF54*$BG54*$BE54*$B54/2)</f>
        <v>6</v>
      </c>
      <c r="BI54" s="7" t="n">
        <f aca="false">INT(($BC54*$BF54)+($I54*$BD54))</f>
        <v>9</v>
      </c>
      <c r="BJ54" s="7" t="n">
        <f aca="false">INT((($I54*$BE54)+$BC54)*$BF54)</f>
        <v>9</v>
      </c>
      <c r="BK54" s="14"/>
      <c r="BL54" s="7" t="n">
        <f aca="false">VLOOKUP($E54,Role!$A$2:$O$9,13,0)</f>
        <v>1.25</v>
      </c>
      <c r="BM54" s="7" t="n">
        <f aca="false">VLOOKUP($E54,Role!$A$2:$O$9,11,0)</f>
        <v>0.666</v>
      </c>
      <c r="BO54" s="7" t="n">
        <f aca="false">VLOOKUP($E54,Role!$A$2:$O$9,8,0)</f>
        <v>0.75</v>
      </c>
      <c r="BP54" s="7" t="n">
        <f aca="false">VLOOKUP($E54,Role!$A$2:$O$9,9,0)</f>
        <v>0.75</v>
      </c>
      <c r="BQ54" s="7" t="n">
        <f aca="false">VLOOKUP($E54,Role!$A$2:$O$9,10,0)</f>
        <v>0.5</v>
      </c>
    </row>
    <row r="55" customFormat="false" ht="12.8" hidden="false" customHeight="false" outlineLevel="0" collapsed="false">
      <c r="B55" s="2" t="n">
        <v>1</v>
      </c>
      <c r="C55" s="3" t="s">
        <v>63</v>
      </c>
      <c r="D55" s="1" t="s">
        <v>64</v>
      </c>
      <c r="E55" s="1" t="s">
        <v>70</v>
      </c>
      <c r="F55" s="1" t="s">
        <v>79</v>
      </c>
      <c r="G55" s="1" t="s">
        <v>80</v>
      </c>
      <c r="H55" s="4" t="n">
        <f aca="false">VLOOKUP($D55,Size!$A$2:$Z$14,6,0)</f>
        <v>1</v>
      </c>
      <c r="I55" s="13" t="n">
        <f aca="false">INT(($B55*$AZ55*$AX55*$BA55)+($B55*$AY55))</f>
        <v>0</v>
      </c>
      <c r="J55" s="4" t="n">
        <f aca="false">ROUND((($B55*$AT55)+($AV55*$AU55))*$AW55,0)</f>
        <v>1</v>
      </c>
      <c r="K55" s="4" t="n">
        <f aca="false">ROUND((($B55*$AP55)+($B55*$AQ55))*$AS55,0)</f>
        <v>0</v>
      </c>
      <c r="L55" s="4" t="n">
        <f aca="false">ROUND((($B55*$AM55)+($B55*$AN55))*$AO55,0)</f>
        <v>0</v>
      </c>
      <c r="M55" s="4" t="n">
        <f aca="false">ROUND((($B55*$AG55)+($B55*$AH55))*$AI55,0)</f>
        <v>0</v>
      </c>
      <c r="N55" s="4" t="n">
        <f aca="false">ROUND((($B55*$AJ55)+($B55*$AK55))*$AL55,0)</f>
        <v>0</v>
      </c>
      <c r="O55" s="4" t="n">
        <f aca="false">INT($BO55*$B55)</f>
        <v>0</v>
      </c>
      <c r="P55" s="4" t="n">
        <f aca="false">INT($BP55*$B55)</f>
        <v>0</v>
      </c>
      <c r="Q55" s="4" t="n">
        <f aca="false">INT($BQ55*$B55*$AR55)</f>
        <v>0</v>
      </c>
      <c r="R55" s="4" t="n">
        <f aca="false">IF($R$1="WT/G",INT(POWER($BH55*$BJ55*$BI55,0.333333)),0)+IF($R$1="WT/A",INT(($BH55+$BJ55+$BI55)/3),0)+IF($R$1="WT/A2",INT(($BJ55+$BI55)/2),0)+IF($R$1="WT/W",INT(($BH55+$BJ55+$BJ55+$BI55)/4),0)+IF($R$1="WT/W2",INT(($BH55+$BJ55+$BI55+$BI55)/4),0)+IF($R$1="WT/N",INT(MIN($BH55,$BJ55,$BI55)),0)+IF($R$1="WT/M",INT(MAX($BH55,$BJ55,$BI55)),0)+IF($R$1="WT/1",INT($BH55),0)+IF($R$1="WT/2",INT($BI55),0)+IF($R$1="WT/3",INT($BJ55),0)</f>
        <v>9</v>
      </c>
      <c r="S55" s="4" t="n">
        <f aca="false">INT((10+$M55)*$BL55)</f>
        <v>12</v>
      </c>
      <c r="T55" s="4" t="n">
        <f aca="false">INT($I55*$BM55*$BF55)</f>
        <v>0</v>
      </c>
      <c r="U55" s="2" t="n">
        <f aca="false">ROUND(MAX($J55,$L55)+(MIN($J55,$L55)*$X55),0)</f>
        <v>1</v>
      </c>
      <c r="V55" s="2" t="n">
        <f aca="false">MAX(1,INT(((MIN($I55:$J55)+(MAX($I55:$J55)*$H55*$Y55)))*$Z55))</f>
        <v>1</v>
      </c>
      <c r="X55" s="5" t="n">
        <f aca="false">VLOOKUP($E55,Role!$A$2:$O$9,14,0)</f>
        <v>1</v>
      </c>
      <c r="Y55" s="5" t="n">
        <f aca="false">VLOOKUP($E55,Role!$A$2:$O$9,15,0)</f>
        <v>1</v>
      </c>
      <c r="Z55" s="5" t="n">
        <f aca="false">VLOOKUP($G55,Movement!$A$2:$C$7,3,0)</f>
        <v>1.5</v>
      </c>
      <c r="AB55" s="5" t="n">
        <f aca="false">INT(5+(($H55-1)/3))</f>
        <v>5</v>
      </c>
      <c r="AC55" s="5" t="n">
        <f aca="false">IF($AB55&lt;$I55,$I55-MAX($AB55,$B55),0)</f>
        <v>0</v>
      </c>
      <c r="AD55" s="5" t="n">
        <f aca="false">(5-ROUND(($H55-1)/3,0))</f>
        <v>5</v>
      </c>
      <c r="AE55" s="5" t="n">
        <f aca="false">IF($AD55&lt;$J55,$J55-MAX($AD55,$B55),0)</f>
        <v>0</v>
      </c>
      <c r="AG55" s="6" t="n">
        <f aca="false">VLOOKUP($F55,Category!$A$2:$AZ$20,24,0)</f>
        <v>0</v>
      </c>
      <c r="AH55" s="6" t="n">
        <f aca="false">VLOOKUP($F55,Category!$A$2:$AZ$20,26,0)</f>
        <v>0.333333333333333</v>
      </c>
      <c r="AI55" s="6" t="n">
        <f aca="false">VLOOKUP($E55,Role!$A$2:$O$9,6,0)</f>
        <v>0.666</v>
      </c>
      <c r="AJ55" s="6" t="n">
        <f aca="false">VLOOKUP($F55,Category!$A$2:$AZ$20,19,0)</f>
        <v>0.0909090909090909</v>
      </c>
      <c r="AK55" s="6" t="n">
        <f aca="false">VLOOKUP($F55,Category!$A$2:$AZ$20,21,0)</f>
        <v>0.545454545454545</v>
      </c>
      <c r="AL55" s="6" t="n">
        <f aca="false">VLOOKUP($E55,Role!$A$2:$O$9,7,0)</f>
        <v>0.666</v>
      </c>
      <c r="AM55" s="6" t="n">
        <f aca="false">VLOOKUP($F55,Category!$A$2:$AZ$20,19,0)</f>
        <v>0.0909090909090909</v>
      </c>
      <c r="AN55" s="6" t="n">
        <f aca="false">VLOOKUP($F55,Category!$A$2:$AZ$20,21,0)</f>
        <v>0.545454545454545</v>
      </c>
      <c r="AO55" s="6" t="n">
        <f aca="false">VLOOKUP($E55,Role!$A$2:$O$9,5,0)</f>
        <v>0.666</v>
      </c>
      <c r="AP55" s="6" t="n">
        <f aca="false">VLOOKUP($F55,Category!$A$2:$AZ$20,9,0)</f>
        <v>0</v>
      </c>
      <c r="AQ55" s="6" t="n">
        <f aca="false">VLOOKUP($F55,Category!$A$2:$AZ$20,11,0)</f>
        <v>0.555555555555556</v>
      </c>
      <c r="AR55" s="6" t="n">
        <f aca="false">VLOOKUP($F55,Category!$A$2:$AZ$20,10,0)</f>
        <v>0.555555555555556</v>
      </c>
      <c r="AS55" s="6" t="n">
        <f aca="false">VLOOKUP($E55,Role!$A$2:$O$9,4,0)</f>
        <v>0.666</v>
      </c>
      <c r="AT55" s="7" t="n">
        <f aca="false">VLOOKUP($F55,Category!$A$2:$AZ$20,14,0)</f>
        <v>0.416666666666667</v>
      </c>
      <c r="AU55" s="7" t="n">
        <f aca="false">VLOOKUP($F55,Category!$A$2:$AZ$20,16,0)</f>
        <v>0.25</v>
      </c>
      <c r="AV55" s="7" t="n">
        <f aca="false">VLOOKUP($D55,Size!$A$2:$Z$14,17,0)</f>
        <v>3</v>
      </c>
      <c r="AW55" s="7" t="n">
        <f aca="false">VLOOKUP($E55,Role!$A$2:$O$9,3,0)</f>
        <v>0.666</v>
      </c>
      <c r="AX55" s="7" t="n">
        <f aca="false">VLOOKUP($F55,Category!$A$2:$AZ$20,29,0)</f>
        <v>0.333333333333333</v>
      </c>
      <c r="AY55" s="7" t="n">
        <f aca="false">VLOOKUP($F55,Category!$A$2:$AZ$20,31,0)</f>
        <v>0.333333333333333</v>
      </c>
      <c r="AZ55" s="7" t="n">
        <f aca="false">VLOOKUP($D55,Size!$A$2:$Z$14,16,0)</f>
        <v>3</v>
      </c>
      <c r="BA55" s="7" t="n">
        <f aca="false">VLOOKUP($E55,Role!$A$2:$O$9,2,0)</f>
        <v>0.666</v>
      </c>
      <c r="BC55" s="7" t="n">
        <f aca="false">VLOOKUP($D55,Size!$A$2:$Z$14,19,0)</f>
        <v>10</v>
      </c>
      <c r="BD55" s="7" t="n">
        <f aca="false">VLOOKUP($D55,Size!$A$2:$Z$14,20,0)</f>
        <v>1</v>
      </c>
      <c r="BE55" s="7" t="n">
        <f aca="false">VLOOKUP($E55,Role!$A$2:$O$9,12,0)</f>
        <v>1.25</v>
      </c>
      <c r="BF55" s="7" t="n">
        <f aca="false">VLOOKUP($C55,Type!$A$2:$B$4,2,0)</f>
        <v>1</v>
      </c>
      <c r="BG55" s="7" t="n">
        <f aca="false">VLOOKUP($D55,Size!$A$2:$Z$14,18,0)</f>
        <v>13</v>
      </c>
      <c r="BH55" s="7" t="n">
        <f aca="false">INT($BF55*$BG55*$BE55*$B55/2)</f>
        <v>8</v>
      </c>
      <c r="BI55" s="7" t="n">
        <f aca="false">INT(($BC55*$BF55)+($I55*$BD55))</f>
        <v>10</v>
      </c>
      <c r="BJ55" s="7" t="n">
        <f aca="false">INT((($I55*$BE55)+$BC55)*$BF55)</f>
        <v>10</v>
      </c>
      <c r="BK55" s="14"/>
      <c r="BL55" s="7" t="n">
        <f aca="false">VLOOKUP($E55,Role!$A$2:$O$9,13,0)</f>
        <v>1.25</v>
      </c>
      <c r="BM55" s="7" t="n">
        <f aca="false">VLOOKUP($E55,Role!$A$2:$O$9,11,0)</f>
        <v>0.666</v>
      </c>
      <c r="BO55" s="7" t="n">
        <f aca="false">VLOOKUP($E55,Role!$A$2:$O$9,8,0)</f>
        <v>0.75</v>
      </c>
      <c r="BP55" s="7" t="n">
        <f aca="false">VLOOKUP($E55,Role!$A$2:$O$9,9,0)</f>
        <v>0.75</v>
      </c>
      <c r="BQ55" s="7" t="n">
        <f aca="false">VLOOKUP($E55,Role!$A$2:$O$9,10,0)</f>
        <v>0.5</v>
      </c>
    </row>
    <row r="56" customFormat="false" ht="12.8" hidden="false" customHeight="false" outlineLevel="0" collapsed="false">
      <c r="B56" s="2" t="n">
        <v>1</v>
      </c>
      <c r="C56" s="3" t="s">
        <v>63</v>
      </c>
      <c r="D56" s="1" t="s">
        <v>84</v>
      </c>
      <c r="E56" s="1" t="s">
        <v>70</v>
      </c>
      <c r="F56" s="1" t="s">
        <v>79</v>
      </c>
      <c r="G56" s="1" t="s">
        <v>80</v>
      </c>
      <c r="H56" s="4" t="n">
        <f aca="false">VLOOKUP($D56,Size!$A$2:$Z$14,6,0)</f>
        <v>2</v>
      </c>
      <c r="I56" s="13" t="n">
        <f aca="false">INT(($B56*$AZ56*$AX56*$BA56)+($B56*$AY56))</f>
        <v>0</v>
      </c>
      <c r="J56" s="4" t="n">
        <f aca="false">ROUND((($B56*$AT56)+($AV56*$AU56))*$AW56,0)</f>
        <v>1</v>
      </c>
      <c r="K56" s="4" t="n">
        <f aca="false">ROUND((($B56*$AP56)+($B56*$AQ56))*$AS56,0)</f>
        <v>0</v>
      </c>
      <c r="L56" s="4" t="n">
        <f aca="false">ROUND((($B56*$AM56)+($B56*$AN56))*$AO56,0)</f>
        <v>0</v>
      </c>
      <c r="M56" s="4" t="n">
        <f aca="false">ROUND((($B56*$AG56)+($B56*$AH56))*$AI56,0)</f>
        <v>0</v>
      </c>
      <c r="N56" s="4" t="n">
        <f aca="false">ROUND((($B56*$AJ56)+($B56*$AK56))*$AL56,0)</f>
        <v>0</v>
      </c>
      <c r="O56" s="4" t="n">
        <f aca="false">INT($BO56*$B56)</f>
        <v>0</v>
      </c>
      <c r="P56" s="4" t="n">
        <f aca="false">INT($BP56*$B56)</f>
        <v>0</v>
      </c>
      <c r="Q56" s="4" t="n">
        <f aca="false">INT($BQ56*$B56*$AR56)</f>
        <v>0</v>
      </c>
      <c r="R56" s="4" t="n">
        <f aca="false">IF($R$1="WT/G",INT(POWER($BH56*$BJ56*$BI56,0.333333)),0)+IF($R$1="WT/A",INT(($BH56+$BJ56+$BI56)/3),0)+IF($R$1="WT/A2",INT(($BJ56+$BI56)/2),0)+IF($R$1="WT/W",INT(($BH56+$BJ56+$BJ56+$BI56)/4),0)+IF($R$1="WT/W2",INT(($BH56+$BJ56+$BI56+$BI56)/4),0)+IF($R$1="WT/N",INT(MIN($BH56,$BJ56,$BI56)),0)+IF($R$1="WT/M",INT(MAX($BH56,$BJ56,$BI56)),0)+IF($R$1="WT/1",INT($BH56),0)+IF($R$1="WT/2",INT($BI56),0)+IF($R$1="WT/3",INT($BJ56),0)</f>
        <v>11</v>
      </c>
      <c r="S56" s="4" t="n">
        <f aca="false">INT((10+$M56)*$BL56)</f>
        <v>12</v>
      </c>
      <c r="T56" s="4" t="n">
        <f aca="false">INT($I56*$BM56*$BF56)</f>
        <v>0</v>
      </c>
      <c r="U56" s="2" t="n">
        <f aca="false">ROUND(MAX($J56,$L56)+(MIN($J56,$L56)*$X56),0)</f>
        <v>1</v>
      </c>
      <c r="V56" s="2" t="n">
        <f aca="false">MAX(1,INT(((MIN($I56:$J56)+(MAX($I56:$J56)*$H56*$Y56)))*$Z56))</f>
        <v>3</v>
      </c>
      <c r="X56" s="5" t="n">
        <f aca="false">VLOOKUP($E56,Role!$A$2:$O$9,14,0)</f>
        <v>1</v>
      </c>
      <c r="Y56" s="5" t="n">
        <f aca="false">VLOOKUP($E56,Role!$A$2:$O$9,15,0)</f>
        <v>1</v>
      </c>
      <c r="Z56" s="5" t="n">
        <f aca="false">VLOOKUP($G56,Movement!$A$2:$C$7,3,0)</f>
        <v>1.5</v>
      </c>
      <c r="AB56" s="5" t="n">
        <f aca="false">INT(5+(($H56-1)/3))</f>
        <v>5</v>
      </c>
      <c r="AC56" s="5" t="n">
        <f aca="false">IF($AB56&lt;$I56,$I56-MAX($AB56,$B56),0)</f>
        <v>0</v>
      </c>
      <c r="AD56" s="5" t="n">
        <f aca="false">(5-ROUND(($H56-1)/3,0))</f>
        <v>5</v>
      </c>
      <c r="AE56" s="5" t="n">
        <f aca="false">IF($AD56&lt;$J56,$J56-MAX($AD56,$B56),0)</f>
        <v>0</v>
      </c>
      <c r="AG56" s="6" t="n">
        <f aca="false">VLOOKUP($F56,Category!$A$2:$AZ$20,24,0)</f>
        <v>0</v>
      </c>
      <c r="AH56" s="6" t="n">
        <f aca="false">VLOOKUP($F56,Category!$A$2:$AZ$20,26,0)</f>
        <v>0.333333333333333</v>
      </c>
      <c r="AI56" s="6" t="n">
        <f aca="false">VLOOKUP($E56,Role!$A$2:$O$9,6,0)</f>
        <v>0.666</v>
      </c>
      <c r="AJ56" s="6" t="n">
        <f aca="false">VLOOKUP($F56,Category!$A$2:$AZ$20,19,0)</f>
        <v>0.0909090909090909</v>
      </c>
      <c r="AK56" s="6" t="n">
        <f aca="false">VLOOKUP($F56,Category!$A$2:$AZ$20,21,0)</f>
        <v>0.545454545454545</v>
      </c>
      <c r="AL56" s="6" t="n">
        <f aca="false">VLOOKUP($E56,Role!$A$2:$O$9,7,0)</f>
        <v>0.666</v>
      </c>
      <c r="AM56" s="6" t="n">
        <f aca="false">VLOOKUP($F56,Category!$A$2:$AZ$20,19,0)</f>
        <v>0.0909090909090909</v>
      </c>
      <c r="AN56" s="6" t="n">
        <f aca="false">VLOOKUP($F56,Category!$A$2:$AZ$20,21,0)</f>
        <v>0.545454545454545</v>
      </c>
      <c r="AO56" s="6" t="n">
        <f aca="false">VLOOKUP($E56,Role!$A$2:$O$9,5,0)</f>
        <v>0.666</v>
      </c>
      <c r="AP56" s="6" t="n">
        <f aca="false">VLOOKUP($F56,Category!$A$2:$AZ$20,9,0)</f>
        <v>0</v>
      </c>
      <c r="AQ56" s="6" t="n">
        <f aca="false">VLOOKUP($F56,Category!$A$2:$AZ$20,11,0)</f>
        <v>0.555555555555556</v>
      </c>
      <c r="AR56" s="6" t="n">
        <f aca="false">VLOOKUP($F56,Category!$A$2:$AZ$20,10,0)</f>
        <v>0.555555555555556</v>
      </c>
      <c r="AS56" s="6" t="n">
        <f aca="false">VLOOKUP($E56,Role!$A$2:$O$9,4,0)</f>
        <v>0.666</v>
      </c>
      <c r="AT56" s="7" t="n">
        <f aca="false">VLOOKUP($F56,Category!$A$2:$AZ$20,14,0)</f>
        <v>0.416666666666667</v>
      </c>
      <c r="AU56" s="7" t="n">
        <f aca="false">VLOOKUP($F56,Category!$A$2:$AZ$20,16,0)</f>
        <v>0.25</v>
      </c>
      <c r="AV56" s="7" t="n">
        <f aca="false">VLOOKUP($D56,Size!$A$2:$Z$14,17,0)</f>
        <v>3</v>
      </c>
      <c r="AW56" s="7" t="n">
        <f aca="false">VLOOKUP($E56,Role!$A$2:$O$9,3,0)</f>
        <v>0.666</v>
      </c>
      <c r="AX56" s="7" t="n">
        <f aca="false">VLOOKUP($F56,Category!$A$2:$AZ$20,29,0)</f>
        <v>0.333333333333333</v>
      </c>
      <c r="AY56" s="7" t="n">
        <f aca="false">VLOOKUP($F56,Category!$A$2:$AZ$20,31,0)</f>
        <v>0.333333333333333</v>
      </c>
      <c r="AZ56" s="7" t="n">
        <f aca="false">VLOOKUP($D56,Size!$A$2:$Z$14,16,0)</f>
        <v>3</v>
      </c>
      <c r="BA56" s="7" t="n">
        <f aca="false">VLOOKUP($E56,Role!$A$2:$O$9,2,0)</f>
        <v>0.666</v>
      </c>
      <c r="BC56" s="7" t="n">
        <f aca="false">VLOOKUP($D56,Size!$A$2:$Z$14,19,0)</f>
        <v>12</v>
      </c>
      <c r="BD56" s="7" t="n">
        <f aca="false">VLOOKUP($D56,Size!$A$2:$Z$14,20,0)</f>
        <v>1.5</v>
      </c>
      <c r="BE56" s="7" t="n">
        <f aca="false">VLOOKUP($E56,Role!$A$2:$O$9,12,0)</f>
        <v>1.25</v>
      </c>
      <c r="BF56" s="7" t="n">
        <f aca="false">VLOOKUP($C56,Type!$A$2:$B$4,2,0)</f>
        <v>1</v>
      </c>
      <c r="BG56" s="7" t="n">
        <f aca="false">VLOOKUP($D56,Size!$A$2:$Z$14,18,0)</f>
        <v>16.2236679323423</v>
      </c>
      <c r="BH56" s="7" t="n">
        <f aca="false">INT($BF56*$BG56*$BE56*$B56/2)</f>
        <v>10</v>
      </c>
      <c r="BI56" s="7" t="n">
        <f aca="false">INT(($BC56*$BF56)+($I56*$BD56))</f>
        <v>12</v>
      </c>
      <c r="BJ56" s="7" t="n">
        <f aca="false">INT((($I56*$BE56)+$BC56)*$BF56)</f>
        <v>12</v>
      </c>
      <c r="BK56" s="14"/>
      <c r="BL56" s="7" t="n">
        <f aca="false">VLOOKUP($E56,Role!$A$2:$O$9,13,0)</f>
        <v>1.25</v>
      </c>
      <c r="BM56" s="7" t="n">
        <f aca="false">VLOOKUP($E56,Role!$A$2:$O$9,11,0)</f>
        <v>0.666</v>
      </c>
      <c r="BO56" s="7" t="n">
        <f aca="false">VLOOKUP($E56,Role!$A$2:$O$9,8,0)</f>
        <v>0.75</v>
      </c>
      <c r="BP56" s="7" t="n">
        <f aca="false">VLOOKUP($E56,Role!$A$2:$O$9,9,0)</f>
        <v>0.75</v>
      </c>
      <c r="BQ56" s="7" t="n">
        <f aca="false">VLOOKUP($E56,Role!$A$2:$O$9,10,0)</f>
        <v>0.5</v>
      </c>
    </row>
    <row r="57" customFormat="false" ht="12.8" hidden="false" customHeight="false" outlineLevel="0" collapsed="false">
      <c r="B57" s="2" t="n">
        <v>1</v>
      </c>
      <c r="C57" s="3" t="s">
        <v>63</v>
      </c>
      <c r="D57" s="1" t="s">
        <v>85</v>
      </c>
      <c r="E57" s="1" t="s">
        <v>70</v>
      </c>
      <c r="F57" s="1" t="s">
        <v>79</v>
      </c>
      <c r="G57" s="1" t="s">
        <v>80</v>
      </c>
      <c r="H57" s="4" t="n">
        <f aca="false">VLOOKUP($D57,Size!$A$2:$Z$14,6,0)</f>
        <v>3</v>
      </c>
      <c r="I57" s="13" t="n">
        <f aca="false">INT(($B57*$AZ57*$AX57*$BA57)+($B57*$AY57))</f>
        <v>1</v>
      </c>
      <c r="J57" s="4" t="n">
        <f aca="false">ROUND((($B57*$AT57)+($AV57*$AU57))*$AW57,0)</f>
        <v>1</v>
      </c>
      <c r="K57" s="4" t="n">
        <f aca="false">ROUND((($B57*$AP57)+($B57*$AQ57))*$AS57,0)</f>
        <v>0</v>
      </c>
      <c r="L57" s="4" t="n">
        <f aca="false">ROUND((($B57*$AM57)+($B57*$AN57))*$AO57,0)</f>
        <v>0</v>
      </c>
      <c r="M57" s="4" t="n">
        <f aca="false">ROUND((($B57*$AG57)+($B57*$AH57))*$AI57,0)</f>
        <v>0</v>
      </c>
      <c r="N57" s="4" t="n">
        <f aca="false">ROUND((($B57*$AJ57)+($B57*$AK57))*$AL57,0)</f>
        <v>0</v>
      </c>
      <c r="O57" s="4" t="n">
        <f aca="false">INT($BO57*$B57)</f>
        <v>0</v>
      </c>
      <c r="P57" s="4" t="n">
        <f aca="false">INT($BP57*$B57)</f>
        <v>0</v>
      </c>
      <c r="Q57" s="4" t="n">
        <f aca="false">INT($BQ57*$B57*$AR57)</f>
        <v>0</v>
      </c>
      <c r="R57" s="4" t="n">
        <f aca="false">IF($R$1="WT/G",INT(POWER($BH57*$BJ57*$BI57,0.333333)),0)+IF($R$1="WT/A",INT(($BH57+$BJ57+$BI57)/3),0)+IF($R$1="WT/A2",INT(($BJ57+$BI57)/2),0)+IF($R$1="WT/W",INT(($BH57+$BJ57+$BJ57+$BI57)/4),0)+IF($R$1="WT/W2",INT(($BH57+$BJ57+$BI57+$BI57)/4),0)+IF($R$1="WT/N",INT(MIN($BH57,$BJ57,$BI57)),0)+IF($R$1="WT/M",INT(MAX($BH57,$BJ57,$BI57)),0)+IF($R$1="WT/1",INT($BH57),0)+IF($R$1="WT/2",INT($BI57),0)+IF($R$1="WT/3",INT($BJ57),0)</f>
        <v>15</v>
      </c>
      <c r="S57" s="4" t="n">
        <f aca="false">INT((10+$M57)*$BL57)</f>
        <v>12</v>
      </c>
      <c r="T57" s="4" t="n">
        <f aca="false">INT($I57*$BM57*$BF57)</f>
        <v>0</v>
      </c>
      <c r="U57" s="2" t="n">
        <f aca="false">ROUND(MAX($J57,$L57)+(MIN($J57,$L57)*$X57),0)</f>
        <v>1</v>
      </c>
      <c r="V57" s="2" t="n">
        <f aca="false">MAX(1,INT(((MIN($I57:$J57)+(MAX($I57:$J57)*$H57*$Y57)))*$Z57))</f>
        <v>6</v>
      </c>
      <c r="X57" s="5" t="n">
        <f aca="false">VLOOKUP($E57,Role!$A$2:$O$9,14,0)</f>
        <v>1</v>
      </c>
      <c r="Y57" s="5" t="n">
        <f aca="false">VLOOKUP($E57,Role!$A$2:$O$9,15,0)</f>
        <v>1</v>
      </c>
      <c r="Z57" s="5" t="n">
        <f aca="false">VLOOKUP($G57,Movement!$A$2:$C$7,3,0)</f>
        <v>1.5</v>
      </c>
      <c r="AB57" s="5" t="n">
        <f aca="false">INT(5+(($H57-1)/3))</f>
        <v>5</v>
      </c>
      <c r="AC57" s="5" t="n">
        <f aca="false">IF($AB57&lt;$I57,$I57-MAX($AB57,$B57),0)</f>
        <v>0</v>
      </c>
      <c r="AD57" s="5" t="n">
        <f aca="false">(5-ROUND(($H57-1)/3,0))</f>
        <v>4</v>
      </c>
      <c r="AE57" s="5" t="n">
        <f aca="false">IF($AD57&lt;$J57,$J57-MAX($AD57,$B57),0)</f>
        <v>0</v>
      </c>
      <c r="AG57" s="6" t="n">
        <f aca="false">VLOOKUP($F57,Category!$A$2:$AZ$20,24,0)</f>
        <v>0</v>
      </c>
      <c r="AH57" s="6" t="n">
        <f aca="false">VLOOKUP($F57,Category!$A$2:$AZ$20,26,0)</f>
        <v>0.333333333333333</v>
      </c>
      <c r="AI57" s="6" t="n">
        <f aca="false">VLOOKUP($E57,Role!$A$2:$O$9,6,0)</f>
        <v>0.666</v>
      </c>
      <c r="AJ57" s="6" t="n">
        <f aca="false">VLOOKUP($F57,Category!$A$2:$AZ$20,19,0)</f>
        <v>0.0909090909090909</v>
      </c>
      <c r="AK57" s="6" t="n">
        <f aca="false">VLOOKUP($F57,Category!$A$2:$AZ$20,21,0)</f>
        <v>0.545454545454545</v>
      </c>
      <c r="AL57" s="6" t="n">
        <f aca="false">VLOOKUP($E57,Role!$A$2:$O$9,7,0)</f>
        <v>0.666</v>
      </c>
      <c r="AM57" s="6" t="n">
        <f aca="false">VLOOKUP($F57,Category!$A$2:$AZ$20,19,0)</f>
        <v>0.0909090909090909</v>
      </c>
      <c r="AN57" s="6" t="n">
        <f aca="false">VLOOKUP($F57,Category!$A$2:$AZ$20,21,0)</f>
        <v>0.545454545454545</v>
      </c>
      <c r="AO57" s="6" t="n">
        <f aca="false">VLOOKUP($E57,Role!$A$2:$O$9,5,0)</f>
        <v>0.666</v>
      </c>
      <c r="AP57" s="6" t="n">
        <f aca="false">VLOOKUP($F57,Category!$A$2:$AZ$20,9,0)</f>
        <v>0</v>
      </c>
      <c r="AQ57" s="6" t="n">
        <f aca="false">VLOOKUP($F57,Category!$A$2:$AZ$20,11,0)</f>
        <v>0.555555555555556</v>
      </c>
      <c r="AR57" s="6" t="n">
        <f aca="false">VLOOKUP($F57,Category!$A$2:$AZ$20,10,0)</f>
        <v>0.555555555555556</v>
      </c>
      <c r="AS57" s="6" t="n">
        <f aca="false">VLOOKUP($E57,Role!$A$2:$O$9,4,0)</f>
        <v>0.666</v>
      </c>
      <c r="AT57" s="7" t="n">
        <f aca="false">VLOOKUP($F57,Category!$A$2:$AZ$20,14,0)</f>
        <v>0.416666666666667</v>
      </c>
      <c r="AU57" s="7" t="n">
        <f aca="false">VLOOKUP($F57,Category!$A$2:$AZ$20,16,0)</f>
        <v>0.25</v>
      </c>
      <c r="AV57" s="7" t="n">
        <f aca="false">VLOOKUP($D57,Size!$A$2:$Z$14,17,0)</f>
        <v>2</v>
      </c>
      <c r="AW57" s="7" t="n">
        <f aca="false">VLOOKUP($E57,Role!$A$2:$O$9,3,0)</f>
        <v>0.666</v>
      </c>
      <c r="AX57" s="7" t="n">
        <f aca="false">VLOOKUP($F57,Category!$A$2:$AZ$20,29,0)</f>
        <v>0.333333333333333</v>
      </c>
      <c r="AY57" s="7" t="n">
        <f aca="false">VLOOKUP($F57,Category!$A$2:$AZ$20,31,0)</f>
        <v>0.333333333333333</v>
      </c>
      <c r="AZ57" s="7" t="n">
        <f aca="false">VLOOKUP($D57,Size!$A$2:$Z$14,16,0)</f>
        <v>4</v>
      </c>
      <c r="BA57" s="7" t="n">
        <f aca="false">VLOOKUP($E57,Role!$A$2:$O$9,2,0)</f>
        <v>0.666</v>
      </c>
      <c r="BC57" s="7" t="n">
        <f aca="false">VLOOKUP($D57,Size!$A$2:$Z$14,19,0)</f>
        <v>14</v>
      </c>
      <c r="BD57" s="7" t="n">
        <f aca="false">VLOOKUP($D57,Size!$A$2:$Z$14,20,0)</f>
        <v>2</v>
      </c>
      <c r="BE57" s="7" t="n">
        <f aca="false">VLOOKUP($E57,Role!$A$2:$O$9,12,0)</f>
        <v>1.25</v>
      </c>
      <c r="BF57" s="7" t="n">
        <f aca="false">VLOOKUP($C57,Type!$A$2:$B$4,2,0)</f>
        <v>1</v>
      </c>
      <c r="BG57" s="7" t="n">
        <f aca="false">VLOOKUP($D57,Size!$A$2:$Z$14,18,0)</f>
        <v>21.7830216372384</v>
      </c>
      <c r="BH57" s="7" t="n">
        <f aca="false">INT($BF57*$BG57*$BE57*$B57/2)</f>
        <v>13</v>
      </c>
      <c r="BI57" s="7" t="n">
        <f aca="false">INT(($BC57*$BF57)+($I57*$BD57))</f>
        <v>16</v>
      </c>
      <c r="BJ57" s="7" t="n">
        <f aca="false">INT((($I57*$BE57)+$BC57)*$BF57)</f>
        <v>15</v>
      </c>
      <c r="BK57" s="14"/>
      <c r="BL57" s="7" t="n">
        <f aca="false">VLOOKUP($E57,Role!$A$2:$O$9,13,0)</f>
        <v>1.25</v>
      </c>
      <c r="BM57" s="7" t="n">
        <f aca="false">VLOOKUP($E57,Role!$A$2:$O$9,11,0)</f>
        <v>0.666</v>
      </c>
      <c r="BO57" s="7" t="n">
        <f aca="false">VLOOKUP($E57,Role!$A$2:$O$9,8,0)</f>
        <v>0.75</v>
      </c>
      <c r="BP57" s="7" t="n">
        <f aca="false">VLOOKUP($E57,Role!$A$2:$O$9,9,0)</f>
        <v>0.75</v>
      </c>
      <c r="BQ57" s="7" t="n">
        <f aca="false">VLOOKUP($E57,Role!$A$2:$O$9,10,0)</f>
        <v>0.5</v>
      </c>
    </row>
    <row r="58" customFormat="false" ht="12.8" hidden="false" customHeight="false" outlineLevel="0" collapsed="false">
      <c r="B58" s="2" t="n">
        <v>1</v>
      </c>
      <c r="C58" s="3" t="s">
        <v>63</v>
      </c>
      <c r="D58" s="1" t="s">
        <v>86</v>
      </c>
      <c r="E58" s="1" t="s">
        <v>70</v>
      </c>
      <c r="F58" s="1" t="s">
        <v>79</v>
      </c>
      <c r="G58" s="1" t="s">
        <v>80</v>
      </c>
      <c r="H58" s="4" t="n">
        <f aca="false">VLOOKUP($D58,Size!$A$2:$Z$14,6,0)</f>
        <v>4</v>
      </c>
      <c r="I58" s="13" t="n">
        <f aca="false">INT(($B58*$AZ58*$AX58*$BA58)+($B58*$AY58))</f>
        <v>1</v>
      </c>
      <c r="J58" s="4" t="n">
        <f aca="false">ROUND((($B58*$AT58)+($AV58*$AU58))*$AW58,0)</f>
        <v>1</v>
      </c>
      <c r="K58" s="4" t="n">
        <f aca="false">ROUND((($B58*$AP58)+($B58*$AQ58))*$AS58,0)</f>
        <v>0</v>
      </c>
      <c r="L58" s="4" t="n">
        <f aca="false">ROUND((($B58*$AM58)+($B58*$AN58))*$AO58,0)</f>
        <v>0</v>
      </c>
      <c r="M58" s="4" t="n">
        <f aca="false">ROUND((($B58*$AG58)+($B58*$AH58))*$AI58,0)</f>
        <v>0</v>
      </c>
      <c r="N58" s="4" t="n">
        <f aca="false">ROUND((($B58*$AJ58)+($B58*$AK58))*$AL58,0)</f>
        <v>0</v>
      </c>
      <c r="O58" s="4" t="n">
        <f aca="false">INT($BO58*$B58)</f>
        <v>0</v>
      </c>
      <c r="P58" s="4" t="n">
        <f aca="false">INT($BP58*$B58)</f>
        <v>0</v>
      </c>
      <c r="Q58" s="4" t="n">
        <f aca="false">INT($BQ58*$B58*$AR58)</f>
        <v>0</v>
      </c>
      <c r="R58" s="4" t="n">
        <f aca="false">IF($R$1="WT/G",INT(POWER($BH58*$BJ58*$BI58,0.333333)),0)+IF($R$1="WT/A",INT(($BH58+$BJ58+$BI58)/3),0)+IF($R$1="WT/A2",INT(($BJ58+$BI58)/2),0)+IF($R$1="WT/W",INT(($BH58+$BJ58+$BJ58+$BI58)/4),0)+IF($R$1="WT/W2",INT(($BH58+$BJ58+$BI58+$BI58)/4),0)+IF($R$1="WT/N",INT(MIN($BH58,$BJ58,$BI58)),0)+IF($R$1="WT/M",INT(MAX($BH58,$BJ58,$BI58)),0)+IF($R$1="WT/1",INT($BH58),0)+IF($R$1="WT/2",INT($BI58),0)+IF($R$1="WT/3",INT($BJ58),0)</f>
        <v>17</v>
      </c>
      <c r="S58" s="4" t="n">
        <f aca="false">INT((10+$M58)*$BL58)</f>
        <v>12</v>
      </c>
      <c r="T58" s="4" t="n">
        <f aca="false">INT($I58*$BM58*$BF58)</f>
        <v>0</v>
      </c>
      <c r="U58" s="2" t="n">
        <f aca="false">ROUND(MAX($J58,$L58)+(MIN($J58,$L58)*$X58),0)</f>
        <v>1</v>
      </c>
      <c r="V58" s="2" t="n">
        <f aca="false">MAX(1,INT(((MIN($I58:$J58)+(MAX($I58:$J58)*$H58*$Y58)))*$Z58))</f>
        <v>7</v>
      </c>
      <c r="X58" s="5" t="n">
        <f aca="false">VLOOKUP($E58,Role!$A$2:$O$9,14,0)</f>
        <v>1</v>
      </c>
      <c r="Y58" s="5" t="n">
        <f aca="false">VLOOKUP($E58,Role!$A$2:$O$9,15,0)</f>
        <v>1</v>
      </c>
      <c r="Z58" s="5" t="n">
        <f aca="false">VLOOKUP($G58,Movement!$A$2:$C$7,3,0)</f>
        <v>1.5</v>
      </c>
      <c r="AB58" s="5" t="n">
        <f aca="false">INT(5+(($H58-1)/3))</f>
        <v>6</v>
      </c>
      <c r="AC58" s="5" t="n">
        <f aca="false">IF($AB58&lt;$I58,$I58-MAX($AB58,$B58),0)</f>
        <v>0</v>
      </c>
      <c r="AD58" s="5" t="n">
        <f aca="false">(5-ROUND(($H58-1)/3,0))</f>
        <v>4</v>
      </c>
      <c r="AE58" s="5" t="n">
        <f aca="false">IF($AD58&lt;$J58,$J58-MAX($AD58,$B58),0)</f>
        <v>0</v>
      </c>
      <c r="AG58" s="6" t="n">
        <f aca="false">VLOOKUP($F58,Category!$A$2:$AZ$20,24,0)</f>
        <v>0</v>
      </c>
      <c r="AH58" s="6" t="n">
        <f aca="false">VLOOKUP($F58,Category!$A$2:$AZ$20,26,0)</f>
        <v>0.333333333333333</v>
      </c>
      <c r="AI58" s="6" t="n">
        <f aca="false">VLOOKUP($E58,Role!$A$2:$O$9,6,0)</f>
        <v>0.666</v>
      </c>
      <c r="AJ58" s="6" t="n">
        <f aca="false">VLOOKUP($F58,Category!$A$2:$AZ$20,19,0)</f>
        <v>0.0909090909090909</v>
      </c>
      <c r="AK58" s="6" t="n">
        <f aca="false">VLOOKUP($F58,Category!$A$2:$AZ$20,21,0)</f>
        <v>0.545454545454545</v>
      </c>
      <c r="AL58" s="6" t="n">
        <f aca="false">VLOOKUP($E58,Role!$A$2:$O$9,7,0)</f>
        <v>0.666</v>
      </c>
      <c r="AM58" s="6" t="n">
        <f aca="false">VLOOKUP($F58,Category!$A$2:$AZ$20,19,0)</f>
        <v>0.0909090909090909</v>
      </c>
      <c r="AN58" s="6" t="n">
        <f aca="false">VLOOKUP($F58,Category!$A$2:$AZ$20,21,0)</f>
        <v>0.545454545454545</v>
      </c>
      <c r="AO58" s="6" t="n">
        <f aca="false">VLOOKUP($E58,Role!$A$2:$O$9,5,0)</f>
        <v>0.666</v>
      </c>
      <c r="AP58" s="6" t="n">
        <f aca="false">VLOOKUP($F58,Category!$A$2:$AZ$20,9,0)</f>
        <v>0</v>
      </c>
      <c r="AQ58" s="6" t="n">
        <f aca="false">VLOOKUP($F58,Category!$A$2:$AZ$20,11,0)</f>
        <v>0.555555555555556</v>
      </c>
      <c r="AR58" s="6" t="n">
        <f aca="false">VLOOKUP($F58,Category!$A$2:$AZ$20,10,0)</f>
        <v>0.555555555555556</v>
      </c>
      <c r="AS58" s="6" t="n">
        <f aca="false">VLOOKUP($E58,Role!$A$2:$O$9,4,0)</f>
        <v>0.666</v>
      </c>
      <c r="AT58" s="7" t="n">
        <f aca="false">VLOOKUP($F58,Category!$A$2:$AZ$20,14,0)</f>
        <v>0.416666666666667</v>
      </c>
      <c r="AU58" s="7" t="n">
        <f aca="false">VLOOKUP($F58,Category!$A$2:$AZ$20,16,0)</f>
        <v>0.25</v>
      </c>
      <c r="AV58" s="7" t="n">
        <f aca="false">VLOOKUP($D58,Size!$A$2:$Z$14,17,0)</f>
        <v>2</v>
      </c>
      <c r="AW58" s="7" t="n">
        <f aca="false">VLOOKUP($E58,Role!$A$2:$O$9,3,0)</f>
        <v>0.666</v>
      </c>
      <c r="AX58" s="7" t="n">
        <f aca="false">VLOOKUP($F58,Category!$A$2:$AZ$20,29,0)</f>
        <v>0.333333333333333</v>
      </c>
      <c r="AY58" s="7" t="n">
        <f aca="false">VLOOKUP($F58,Category!$A$2:$AZ$20,31,0)</f>
        <v>0.333333333333333</v>
      </c>
      <c r="AZ58" s="7" t="n">
        <f aca="false">VLOOKUP($D58,Size!$A$2:$Z$14,16,0)</f>
        <v>4</v>
      </c>
      <c r="BA58" s="7" t="n">
        <f aca="false">VLOOKUP($E58,Role!$A$2:$O$9,2,0)</f>
        <v>0.666</v>
      </c>
      <c r="BC58" s="7" t="n">
        <f aca="false">VLOOKUP($D58,Size!$A$2:$Z$14,19,0)</f>
        <v>16</v>
      </c>
      <c r="BD58" s="7" t="n">
        <f aca="false">VLOOKUP($D58,Size!$A$2:$Z$14,20,0)</f>
        <v>3</v>
      </c>
      <c r="BE58" s="7" t="n">
        <f aca="false">VLOOKUP($E58,Role!$A$2:$O$9,12,0)</f>
        <v>1.25</v>
      </c>
      <c r="BF58" s="7" t="n">
        <f aca="false">VLOOKUP($C58,Type!$A$2:$B$4,2,0)</f>
        <v>1</v>
      </c>
      <c r="BG58" s="7" t="n">
        <f aca="false">VLOOKUP($D58,Size!$A$2:$Z$14,18,0)</f>
        <v>25.3004131186338</v>
      </c>
      <c r="BH58" s="7" t="n">
        <f aca="false">INT($BF58*$BG58*$BE58*$B58/2)</f>
        <v>15</v>
      </c>
      <c r="BI58" s="7" t="n">
        <f aca="false">INT(($BC58*$BF58)+($I58*$BD58))</f>
        <v>19</v>
      </c>
      <c r="BJ58" s="7" t="n">
        <f aca="false">INT((($I58*$BE58)+$BC58)*$BF58)</f>
        <v>17</v>
      </c>
      <c r="BK58" s="14"/>
      <c r="BL58" s="7" t="n">
        <f aca="false">VLOOKUP($E58,Role!$A$2:$O$9,13,0)</f>
        <v>1.25</v>
      </c>
      <c r="BM58" s="7" t="n">
        <f aca="false">VLOOKUP($E58,Role!$A$2:$O$9,11,0)</f>
        <v>0.666</v>
      </c>
      <c r="BO58" s="7" t="n">
        <f aca="false">VLOOKUP($E58,Role!$A$2:$O$9,8,0)</f>
        <v>0.75</v>
      </c>
      <c r="BP58" s="7" t="n">
        <f aca="false">VLOOKUP($E58,Role!$A$2:$O$9,9,0)</f>
        <v>0.75</v>
      </c>
      <c r="BQ58" s="7" t="n">
        <f aca="false">VLOOKUP($E58,Role!$A$2:$O$9,10,0)</f>
        <v>0.5</v>
      </c>
    </row>
    <row r="59" customFormat="false" ht="12.8" hidden="false" customHeight="false" outlineLevel="0" collapsed="false">
      <c r="B59" s="2" t="n">
        <v>1</v>
      </c>
      <c r="C59" s="3" t="s">
        <v>63</v>
      </c>
      <c r="D59" s="1" t="s">
        <v>87</v>
      </c>
      <c r="E59" s="1" t="s">
        <v>70</v>
      </c>
      <c r="F59" s="1" t="s">
        <v>79</v>
      </c>
      <c r="G59" s="1" t="s">
        <v>80</v>
      </c>
      <c r="H59" s="4" t="n">
        <f aca="false">VLOOKUP($D59,Size!$A$2:$Z$14,6,0)</f>
        <v>5</v>
      </c>
      <c r="I59" s="13" t="n">
        <f aca="false">INT(($B59*$AZ59*$AX59*$BA59)+($B59*$AY59))</f>
        <v>1</v>
      </c>
      <c r="J59" s="4" t="n">
        <f aca="false">ROUND((($B59*$AT59)+($AV59*$AU59))*$AW59,0)</f>
        <v>1</v>
      </c>
      <c r="K59" s="4" t="n">
        <f aca="false">ROUND((($B59*$AP59)+($B59*$AQ59))*$AS59,0)</f>
        <v>0</v>
      </c>
      <c r="L59" s="4" t="n">
        <f aca="false">ROUND((($B59*$AM59)+($B59*$AN59))*$AO59,0)</f>
        <v>0</v>
      </c>
      <c r="M59" s="4" t="n">
        <f aca="false">ROUND((($B59*$AG59)+($B59*$AH59))*$AI59,0)</f>
        <v>0</v>
      </c>
      <c r="N59" s="4" t="n">
        <f aca="false">ROUND((($B59*$AJ59)+($B59*$AK59))*$AL59,0)</f>
        <v>0</v>
      </c>
      <c r="O59" s="4" t="n">
        <f aca="false">INT($BO59*$B59)</f>
        <v>0</v>
      </c>
      <c r="P59" s="4" t="n">
        <f aca="false">INT($BP59*$B59)</f>
        <v>0</v>
      </c>
      <c r="Q59" s="4" t="n">
        <f aca="false">INT($BQ59*$B59*$AR59)</f>
        <v>0</v>
      </c>
      <c r="R59" s="4" t="n">
        <f aca="false">IF($R$1="WT/G",INT(POWER($BH59*$BJ59*$BI59,0.333333)),0)+IF($R$1="WT/A",INT(($BH59+$BJ59+$BI59)/3),0)+IF($R$1="WT/A2",INT(($BJ59+$BI59)/2),0)+IF($R$1="WT/W",INT(($BH59+$BJ59+$BJ59+$BI59)/4),0)+IF($R$1="WT/W2",INT(($BH59+$BJ59+$BI59+$BI59)/4),0)+IF($R$1="WT/N",INT(MIN($BH59,$BJ59,$BI59)),0)+IF($R$1="WT/M",INT(MAX($BH59,$BJ59,$BI59)),0)+IF($R$1="WT/1",INT($BH59),0)+IF($R$1="WT/2",INT($BI59),0)+IF($R$1="WT/3",INT($BJ59),0)</f>
        <v>20</v>
      </c>
      <c r="S59" s="4" t="n">
        <f aca="false">INT((10+$M59)*$BL59)</f>
        <v>12</v>
      </c>
      <c r="T59" s="4" t="n">
        <f aca="false">INT($I59*$BM59*$BF59)</f>
        <v>0</v>
      </c>
      <c r="U59" s="2" t="n">
        <f aca="false">ROUND(MAX($J59,$L59)+(MIN($J59,$L59)*$X59),0)</f>
        <v>1</v>
      </c>
      <c r="V59" s="2" t="n">
        <f aca="false">MAX(1,INT(((MIN($I59:$J59)+(MAX($I59:$J59)*$H59*$Y59)))*$Z59))</f>
        <v>9</v>
      </c>
      <c r="X59" s="5" t="n">
        <f aca="false">VLOOKUP($E59,Role!$A$2:$O$9,14,0)</f>
        <v>1</v>
      </c>
      <c r="Y59" s="5" t="n">
        <f aca="false">VLOOKUP($E59,Role!$A$2:$O$9,15,0)</f>
        <v>1</v>
      </c>
      <c r="Z59" s="5" t="n">
        <f aca="false">VLOOKUP($G59,Movement!$A$2:$C$7,3,0)</f>
        <v>1.5</v>
      </c>
      <c r="AB59" s="5" t="n">
        <f aca="false">INT(5+(($H59-1)/3))</f>
        <v>6</v>
      </c>
      <c r="AC59" s="5" t="n">
        <f aca="false">IF($AB59&lt;$I59,$I59-MAX($AB59,$B59),0)</f>
        <v>0</v>
      </c>
      <c r="AD59" s="5" t="n">
        <f aca="false">(5-ROUND(($H59-1)/3,0))</f>
        <v>4</v>
      </c>
      <c r="AE59" s="5" t="n">
        <f aca="false">IF($AD59&lt;$J59,$J59-MAX($AD59,$B59),0)</f>
        <v>0</v>
      </c>
      <c r="AG59" s="6" t="n">
        <f aca="false">VLOOKUP($F59,Category!$A$2:$AZ$20,24,0)</f>
        <v>0</v>
      </c>
      <c r="AH59" s="6" t="n">
        <f aca="false">VLOOKUP($F59,Category!$A$2:$AZ$20,26,0)</f>
        <v>0.333333333333333</v>
      </c>
      <c r="AI59" s="6" t="n">
        <f aca="false">VLOOKUP($E59,Role!$A$2:$O$9,6,0)</f>
        <v>0.666</v>
      </c>
      <c r="AJ59" s="6" t="n">
        <f aca="false">VLOOKUP($F59,Category!$A$2:$AZ$20,19,0)</f>
        <v>0.0909090909090909</v>
      </c>
      <c r="AK59" s="6" t="n">
        <f aca="false">VLOOKUP($F59,Category!$A$2:$AZ$20,21,0)</f>
        <v>0.545454545454545</v>
      </c>
      <c r="AL59" s="6" t="n">
        <f aca="false">VLOOKUP($E59,Role!$A$2:$O$9,7,0)</f>
        <v>0.666</v>
      </c>
      <c r="AM59" s="6" t="n">
        <f aca="false">VLOOKUP($F59,Category!$A$2:$AZ$20,19,0)</f>
        <v>0.0909090909090909</v>
      </c>
      <c r="AN59" s="6" t="n">
        <f aca="false">VLOOKUP($F59,Category!$A$2:$AZ$20,21,0)</f>
        <v>0.545454545454545</v>
      </c>
      <c r="AO59" s="6" t="n">
        <f aca="false">VLOOKUP($E59,Role!$A$2:$O$9,5,0)</f>
        <v>0.666</v>
      </c>
      <c r="AP59" s="6" t="n">
        <f aca="false">VLOOKUP($F59,Category!$A$2:$AZ$20,9,0)</f>
        <v>0</v>
      </c>
      <c r="AQ59" s="6" t="n">
        <f aca="false">VLOOKUP($F59,Category!$A$2:$AZ$20,11,0)</f>
        <v>0.555555555555556</v>
      </c>
      <c r="AR59" s="6" t="n">
        <f aca="false">VLOOKUP($F59,Category!$A$2:$AZ$20,10,0)</f>
        <v>0.555555555555556</v>
      </c>
      <c r="AS59" s="6" t="n">
        <f aca="false">VLOOKUP($E59,Role!$A$2:$O$9,4,0)</f>
        <v>0.666</v>
      </c>
      <c r="AT59" s="7" t="n">
        <f aca="false">VLOOKUP($F59,Category!$A$2:$AZ$20,14,0)</f>
        <v>0.416666666666667</v>
      </c>
      <c r="AU59" s="7" t="n">
        <f aca="false">VLOOKUP($F59,Category!$A$2:$AZ$20,16,0)</f>
        <v>0.25</v>
      </c>
      <c r="AV59" s="7" t="n">
        <f aca="false">VLOOKUP($D59,Size!$A$2:$Z$14,17,0)</f>
        <v>2</v>
      </c>
      <c r="AW59" s="7" t="n">
        <f aca="false">VLOOKUP($E59,Role!$A$2:$O$9,3,0)</f>
        <v>0.666</v>
      </c>
      <c r="AX59" s="7" t="n">
        <f aca="false">VLOOKUP($F59,Category!$A$2:$AZ$20,29,0)</f>
        <v>0.333333333333333</v>
      </c>
      <c r="AY59" s="7" t="n">
        <f aca="false">VLOOKUP($F59,Category!$A$2:$AZ$20,31,0)</f>
        <v>0.333333333333333</v>
      </c>
      <c r="AZ59" s="7" t="n">
        <f aca="false">VLOOKUP($D59,Size!$A$2:$Z$14,16,0)</f>
        <v>5</v>
      </c>
      <c r="BA59" s="7" t="n">
        <f aca="false">VLOOKUP($E59,Role!$A$2:$O$9,2,0)</f>
        <v>0.666</v>
      </c>
      <c r="BC59" s="7" t="n">
        <f aca="false">VLOOKUP($D59,Size!$A$2:$Z$14,19,0)</f>
        <v>18</v>
      </c>
      <c r="BD59" s="7" t="n">
        <f aca="false">VLOOKUP($D59,Size!$A$2:$Z$14,20,0)</f>
        <v>4</v>
      </c>
      <c r="BE59" s="7" t="n">
        <f aca="false">VLOOKUP($E59,Role!$A$2:$O$9,12,0)</f>
        <v>1.25</v>
      </c>
      <c r="BF59" s="7" t="n">
        <f aca="false">VLOOKUP($C59,Type!$A$2:$B$4,2,0)</f>
        <v>1</v>
      </c>
      <c r="BG59" s="7" t="n">
        <f aca="false">VLOOKUP($D59,Size!$A$2:$Z$14,18,0)</f>
        <v>31.2018765062488</v>
      </c>
      <c r="BH59" s="7" t="n">
        <f aca="false">INT($BF59*$BG59*$BE59*$B59/2)</f>
        <v>19</v>
      </c>
      <c r="BI59" s="7" t="n">
        <f aca="false">INT(($BC59*$BF59)+($I59*$BD59))</f>
        <v>22</v>
      </c>
      <c r="BJ59" s="7" t="n">
        <f aca="false">INT((($I59*$BE59)+$BC59)*$BF59)</f>
        <v>19</v>
      </c>
      <c r="BK59" s="14"/>
      <c r="BL59" s="7" t="n">
        <f aca="false">VLOOKUP($E59,Role!$A$2:$O$9,13,0)</f>
        <v>1.25</v>
      </c>
      <c r="BM59" s="7" t="n">
        <f aca="false">VLOOKUP($E59,Role!$A$2:$O$9,11,0)</f>
        <v>0.666</v>
      </c>
      <c r="BO59" s="7" t="n">
        <f aca="false">VLOOKUP($E59,Role!$A$2:$O$9,8,0)</f>
        <v>0.75</v>
      </c>
      <c r="BP59" s="7" t="n">
        <f aca="false">VLOOKUP($E59,Role!$A$2:$O$9,9,0)</f>
        <v>0.75</v>
      </c>
      <c r="BQ59" s="7" t="n">
        <f aca="false">VLOOKUP($E59,Role!$A$2:$O$9,10,0)</f>
        <v>0.5</v>
      </c>
    </row>
    <row r="60" customFormat="false" ht="12.8" hidden="false" customHeight="false" outlineLevel="0" collapsed="false">
      <c r="B60" s="2" t="n">
        <v>1</v>
      </c>
      <c r="C60" s="3" t="s">
        <v>63</v>
      </c>
      <c r="D60" s="1" t="s">
        <v>88</v>
      </c>
      <c r="E60" s="1" t="s">
        <v>70</v>
      </c>
      <c r="F60" s="1" t="s">
        <v>79</v>
      </c>
      <c r="G60" s="1" t="s">
        <v>80</v>
      </c>
      <c r="H60" s="4" t="n">
        <f aca="false">VLOOKUP($D60,Size!$A$2:$Z$14,6,0)</f>
        <v>6</v>
      </c>
      <c r="I60" s="13" t="n">
        <f aca="false">INT(($B60*$AZ60*$AX60*$BA60)+($B60*$AY60))</f>
        <v>1</v>
      </c>
      <c r="J60" s="4" t="n">
        <f aca="false">ROUND((($B60*$AT60)+($AV60*$AU60))*$AW60,0)</f>
        <v>1</v>
      </c>
      <c r="K60" s="4" t="n">
        <f aca="false">ROUND((($B60*$AP60)+($B60*$AQ60))*$AS60,0)</f>
        <v>0</v>
      </c>
      <c r="L60" s="4" t="n">
        <f aca="false">ROUND((($B60*$AM60)+($B60*$AN60))*$AO60,0)</f>
        <v>0</v>
      </c>
      <c r="M60" s="4" t="n">
        <f aca="false">ROUND((($B60*$AG60)+($B60*$AH60))*$AI60,0)</f>
        <v>0</v>
      </c>
      <c r="N60" s="4" t="n">
        <f aca="false">ROUND((($B60*$AJ60)+($B60*$AK60))*$AL60,0)</f>
        <v>0</v>
      </c>
      <c r="O60" s="4" t="n">
        <f aca="false">INT($BO60*$B60)</f>
        <v>0</v>
      </c>
      <c r="P60" s="4" t="n">
        <f aca="false">INT($BP60*$B60)</f>
        <v>0</v>
      </c>
      <c r="Q60" s="4" t="n">
        <f aca="false">INT($BQ60*$B60*$AR60)</f>
        <v>0</v>
      </c>
      <c r="R60" s="4" t="n">
        <f aca="false">IF($R$1="WT/G",INT(POWER($BH60*$BJ60*$BI60,0.333333)),0)+IF($R$1="WT/A",INT(($BH60+$BJ60+$BI60)/3),0)+IF($R$1="WT/A2",INT(($BJ60+$BI60)/2),0)+IF($R$1="WT/W",INT(($BH60+$BJ60+$BJ60+$BI60)/4),0)+IF($R$1="WT/W2",INT(($BH60+$BJ60+$BI60+$BI60)/4),0)+IF($R$1="WT/N",INT(MIN($BH60,$BJ60,$BI60)),0)+IF($R$1="WT/M",INT(MAX($BH60,$BJ60,$BI60)),0)+IF($R$1="WT/1",INT($BH60),0)+IF($R$1="WT/2",INT($BI60),0)+IF($R$1="WT/3",INT($BJ60),0)</f>
        <v>23</v>
      </c>
      <c r="S60" s="4" t="n">
        <f aca="false">INT((10+$M60)*$BL60)</f>
        <v>12</v>
      </c>
      <c r="T60" s="4" t="n">
        <f aca="false">INT($I60*$BM60*$BF60)</f>
        <v>0</v>
      </c>
      <c r="U60" s="2" t="n">
        <f aca="false">ROUND(MAX($J60,$L60)+(MIN($J60,$L60)*$X60),0)</f>
        <v>1</v>
      </c>
      <c r="V60" s="2" t="n">
        <f aca="false">MAX(1,INT(((MIN($I60:$J60)+(MAX($I60:$J60)*$H60*$Y60)))*$Z60))</f>
        <v>10</v>
      </c>
      <c r="X60" s="5" t="n">
        <f aca="false">VLOOKUP($E60,Role!$A$2:$O$9,14,0)</f>
        <v>1</v>
      </c>
      <c r="Y60" s="5" t="n">
        <f aca="false">VLOOKUP($E60,Role!$A$2:$O$9,15,0)</f>
        <v>1</v>
      </c>
      <c r="Z60" s="5" t="n">
        <f aca="false">VLOOKUP($G60,Movement!$A$2:$C$7,3,0)</f>
        <v>1.5</v>
      </c>
      <c r="AB60" s="5" t="n">
        <f aca="false">INT(5+(($H60-1)/3))</f>
        <v>6</v>
      </c>
      <c r="AC60" s="5" t="n">
        <f aca="false">IF($AB60&lt;$I60,$I60-MAX($AB60,$B60),0)</f>
        <v>0</v>
      </c>
      <c r="AD60" s="5" t="n">
        <f aca="false">(5-ROUND(($H60-1)/3,0))</f>
        <v>3</v>
      </c>
      <c r="AE60" s="5" t="n">
        <f aca="false">IF($AD60&lt;$J60,$J60-MAX($AD60,$B60),0)</f>
        <v>0</v>
      </c>
      <c r="AG60" s="6" t="n">
        <f aca="false">VLOOKUP($F60,Category!$A$2:$AZ$20,24,0)</f>
        <v>0</v>
      </c>
      <c r="AH60" s="6" t="n">
        <f aca="false">VLOOKUP($F60,Category!$A$2:$AZ$20,26,0)</f>
        <v>0.333333333333333</v>
      </c>
      <c r="AI60" s="6" t="n">
        <f aca="false">VLOOKUP($E60,Role!$A$2:$O$9,6,0)</f>
        <v>0.666</v>
      </c>
      <c r="AJ60" s="6" t="n">
        <f aca="false">VLOOKUP($F60,Category!$A$2:$AZ$20,19,0)</f>
        <v>0.0909090909090909</v>
      </c>
      <c r="AK60" s="6" t="n">
        <f aca="false">VLOOKUP($F60,Category!$A$2:$AZ$20,21,0)</f>
        <v>0.545454545454545</v>
      </c>
      <c r="AL60" s="6" t="n">
        <f aca="false">VLOOKUP($E60,Role!$A$2:$O$9,7,0)</f>
        <v>0.666</v>
      </c>
      <c r="AM60" s="6" t="n">
        <f aca="false">VLOOKUP($F60,Category!$A$2:$AZ$20,19,0)</f>
        <v>0.0909090909090909</v>
      </c>
      <c r="AN60" s="6" t="n">
        <f aca="false">VLOOKUP($F60,Category!$A$2:$AZ$20,21,0)</f>
        <v>0.545454545454545</v>
      </c>
      <c r="AO60" s="6" t="n">
        <f aca="false">VLOOKUP($E60,Role!$A$2:$O$9,5,0)</f>
        <v>0.666</v>
      </c>
      <c r="AP60" s="6" t="n">
        <f aca="false">VLOOKUP($F60,Category!$A$2:$AZ$20,9,0)</f>
        <v>0</v>
      </c>
      <c r="AQ60" s="6" t="n">
        <f aca="false">VLOOKUP($F60,Category!$A$2:$AZ$20,11,0)</f>
        <v>0.555555555555556</v>
      </c>
      <c r="AR60" s="6" t="n">
        <f aca="false">VLOOKUP($F60,Category!$A$2:$AZ$20,10,0)</f>
        <v>0.555555555555556</v>
      </c>
      <c r="AS60" s="6" t="n">
        <f aca="false">VLOOKUP($E60,Role!$A$2:$O$9,4,0)</f>
        <v>0.666</v>
      </c>
      <c r="AT60" s="7" t="n">
        <f aca="false">VLOOKUP($F60,Category!$A$2:$AZ$20,14,0)</f>
        <v>0.416666666666667</v>
      </c>
      <c r="AU60" s="7" t="n">
        <f aca="false">VLOOKUP($F60,Category!$A$2:$AZ$20,16,0)</f>
        <v>0.25</v>
      </c>
      <c r="AV60" s="7" t="n">
        <f aca="false">VLOOKUP($D60,Size!$A$2:$Z$14,17,0)</f>
        <v>2</v>
      </c>
      <c r="AW60" s="7" t="n">
        <f aca="false">VLOOKUP($E60,Role!$A$2:$O$9,3,0)</f>
        <v>0.666</v>
      </c>
      <c r="AX60" s="7" t="n">
        <f aca="false">VLOOKUP($F60,Category!$A$2:$AZ$20,29,0)</f>
        <v>0.333333333333333</v>
      </c>
      <c r="AY60" s="7" t="n">
        <f aca="false">VLOOKUP($F60,Category!$A$2:$AZ$20,31,0)</f>
        <v>0.333333333333333</v>
      </c>
      <c r="AZ60" s="7" t="n">
        <f aca="false">VLOOKUP($D60,Size!$A$2:$Z$14,16,0)</f>
        <v>5</v>
      </c>
      <c r="BA60" s="7" t="n">
        <f aca="false">VLOOKUP($E60,Role!$A$2:$O$9,2,0)</f>
        <v>0.666</v>
      </c>
      <c r="BC60" s="7" t="n">
        <f aca="false">VLOOKUP($D60,Size!$A$2:$Z$14,19,0)</f>
        <v>20</v>
      </c>
      <c r="BD60" s="7" t="n">
        <f aca="false">VLOOKUP($D60,Size!$A$2:$Z$14,20,0)</f>
        <v>5</v>
      </c>
      <c r="BE60" s="7" t="n">
        <f aca="false">VLOOKUP($E60,Role!$A$2:$O$9,12,0)</f>
        <v>1.25</v>
      </c>
      <c r="BF60" s="7" t="n">
        <f aca="false">VLOOKUP($C60,Type!$A$2:$B$4,2,0)</f>
        <v>1</v>
      </c>
      <c r="BG60" s="7" t="n">
        <f aca="false">VLOOKUP($D60,Size!$A$2:$Z$14,18,0)</f>
        <v>38.7177346253629</v>
      </c>
      <c r="BH60" s="7" t="n">
        <f aca="false">INT($BF60*$BG60*$BE60*$B60/2)</f>
        <v>24</v>
      </c>
      <c r="BI60" s="7" t="n">
        <f aca="false">INT(($BC60*$BF60)+($I60*$BD60))</f>
        <v>25</v>
      </c>
      <c r="BJ60" s="7" t="n">
        <f aca="false">INT((($I60*$BE60)+$BC60)*$BF60)</f>
        <v>21</v>
      </c>
      <c r="BK60" s="14"/>
      <c r="BL60" s="7" t="n">
        <f aca="false">VLOOKUP($E60,Role!$A$2:$O$9,13,0)</f>
        <v>1.25</v>
      </c>
      <c r="BM60" s="7" t="n">
        <f aca="false">VLOOKUP($E60,Role!$A$2:$O$9,11,0)</f>
        <v>0.666</v>
      </c>
      <c r="BO60" s="7" t="n">
        <f aca="false">VLOOKUP($E60,Role!$A$2:$O$9,8,0)</f>
        <v>0.75</v>
      </c>
      <c r="BP60" s="7" t="n">
        <f aca="false">VLOOKUP($E60,Role!$A$2:$O$9,9,0)</f>
        <v>0.75</v>
      </c>
      <c r="BQ60" s="7" t="n">
        <f aca="false">VLOOKUP($E60,Role!$A$2:$O$9,10,0)</f>
        <v>0.5</v>
      </c>
    </row>
    <row r="61" customFormat="false" ht="12.8" hidden="false" customHeight="false" outlineLevel="0" collapsed="false">
      <c r="B61" s="2" t="n">
        <v>1</v>
      </c>
      <c r="C61" s="3" t="s">
        <v>63</v>
      </c>
      <c r="D61" s="1" t="s">
        <v>89</v>
      </c>
      <c r="E61" s="1" t="s">
        <v>70</v>
      </c>
      <c r="F61" s="1" t="s">
        <v>79</v>
      </c>
      <c r="G61" s="1" t="s">
        <v>80</v>
      </c>
      <c r="H61" s="4" t="n">
        <f aca="false">VLOOKUP($D61,Size!$A$2:$Z$14,6,0)</f>
        <v>7</v>
      </c>
      <c r="I61" s="13" t="n">
        <f aca="false">INT(($B61*$AZ61*$AX61*$BA61)+($B61*$AY61))</f>
        <v>1</v>
      </c>
      <c r="J61" s="4" t="n">
        <f aca="false">ROUND((($B61*$AT61)+($AV61*$AU61))*$AW61,0)</f>
        <v>1</v>
      </c>
      <c r="K61" s="4" t="n">
        <f aca="false">ROUND((($B61*$AP61)+($B61*$AQ61))*$AS61,0)</f>
        <v>0</v>
      </c>
      <c r="L61" s="4" t="n">
        <f aca="false">ROUND((($B61*$AM61)+($B61*$AN61))*$AO61,0)</f>
        <v>0</v>
      </c>
      <c r="M61" s="4" t="n">
        <f aca="false">ROUND((($B61*$AG61)+($B61*$AH61))*$AI61,0)</f>
        <v>0</v>
      </c>
      <c r="N61" s="4" t="n">
        <f aca="false">ROUND((($B61*$AJ61)+($B61*$AK61))*$AL61,0)</f>
        <v>0</v>
      </c>
      <c r="O61" s="4" t="n">
        <f aca="false">INT($BO61*$B61)</f>
        <v>0</v>
      </c>
      <c r="P61" s="4" t="n">
        <f aca="false">INT($BP61*$B61)</f>
        <v>0</v>
      </c>
      <c r="Q61" s="4" t="n">
        <f aca="false">INT($BQ61*$B61*$AR61)</f>
        <v>0</v>
      </c>
      <c r="R61" s="4" t="n">
        <f aca="false">IF($R$1="WT/G",INT(POWER($BH61*$BJ61*$BI61,0.333333)),0)+IF($R$1="WT/A",INT(($BH61+$BJ61+$BI61)/3),0)+IF($R$1="WT/A2",INT(($BJ61+$BI61)/2),0)+IF($R$1="WT/W",INT(($BH61+$BJ61+$BJ61+$BI61)/4),0)+IF($R$1="WT/W2",INT(($BH61+$BJ61+$BI61+$BI61)/4),0)+IF($R$1="WT/N",INT(MIN($BH61,$BJ61,$BI61)),0)+IF($R$1="WT/M",INT(MAX($BH61,$BJ61,$BI61)),0)+IF($R$1="WT/1",INT($BH61),0)+IF($R$1="WT/2",INT($BI61),0)+IF($R$1="WT/3",INT($BJ61),0)</f>
        <v>27</v>
      </c>
      <c r="S61" s="4" t="n">
        <f aca="false">INT((10+$M61)*$BL61)</f>
        <v>12</v>
      </c>
      <c r="T61" s="4" t="n">
        <f aca="false">INT($I61*$BM61*$BF61)</f>
        <v>0</v>
      </c>
      <c r="U61" s="2" t="n">
        <f aca="false">ROUND(MAX($J61,$L61)+(MIN($J61,$L61)*$X61),0)</f>
        <v>1</v>
      </c>
      <c r="V61" s="2" t="n">
        <f aca="false">MAX(1,INT(((MIN($I61:$J61)+(MAX($I61:$J61)*$H61*$Y61)))*$Z61))</f>
        <v>12</v>
      </c>
      <c r="X61" s="5" t="n">
        <f aca="false">VLOOKUP($E61,Role!$A$2:$O$9,14,0)</f>
        <v>1</v>
      </c>
      <c r="Y61" s="5" t="n">
        <f aca="false">VLOOKUP($E61,Role!$A$2:$O$9,15,0)</f>
        <v>1</v>
      </c>
      <c r="Z61" s="5" t="n">
        <f aca="false">VLOOKUP($G61,Movement!$A$2:$C$7,3,0)</f>
        <v>1.5</v>
      </c>
      <c r="AB61" s="5" t="n">
        <f aca="false">INT(5+(($H61-1)/3))</f>
        <v>7</v>
      </c>
      <c r="AC61" s="5" t="n">
        <f aca="false">IF($AB61&lt;$I61,$I61-MAX($AB61,$B61),0)</f>
        <v>0</v>
      </c>
      <c r="AD61" s="5" t="n">
        <f aca="false">(5-ROUND(($H61-1)/3,0))</f>
        <v>3</v>
      </c>
      <c r="AE61" s="5" t="n">
        <f aca="false">IF($AD61&lt;$J61,$J61-MAX($AD61,$B61),0)</f>
        <v>0</v>
      </c>
      <c r="AG61" s="6" t="n">
        <f aca="false">VLOOKUP($F61,Category!$A$2:$AZ$20,24,0)</f>
        <v>0</v>
      </c>
      <c r="AH61" s="6" t="n">
        <f aca="false">VLOOKUP($F61,Category!$A$2:$AZ$20,26,0)</f>
        <v>0.333333333333333</v>
      </c>
      <c r="AI61" s="6" t="n">
        <f aca="false">VLOOKUP($E61,Role!$A$2:$O$9,6,0)</f>
        <v>0.666</v>
      </c>
      <c r="AJ61" s="6" t="n">
        <f aca="false">VLOOKUP($F61,Category!$A$2:$AZ$20,19,0)</f>
        <v>0.0909090909090909</v>
      </c>
      <c r="AK61" s="6" t="n">
        <f aca="false">VLOOKUP($F61,Category!$A$2:$AZ$20,21,0)</f>
        <v>0.545454545454545</v>
      </c>
      <c r="AL61" s="6" t="n">
        <f aca="false">VLOOKUP($E61,Role!$A$2:$O$9,7,0)</f>
        <v>0.666</v>
      </c>
      <c r="AM61" s="6" t="n">
        <f aca="false">VLOOKUP($F61,Category!$A$2:$AZ$20,19,0)</f>
        <v>0.0909090909090909</v>
      </c>
      <c r="AN61" s="6" t="n">
        <f aca="false">VLOOKUP($F61,Category!$A$2:$AZ$20,21,0)</f>
        <v>0.545454545454545</v>
      </c>
      <c r="AO61" s="6" t="n">
        <f aca="false">VLOOKUP($E61,Role!$A$2:$O$9,5,0)</f>
        <v>0.666</v>
      </c>
      <c r="AP61" s="6" t="n">
        <f aca="false">VLOOKUP($F61,Category!$A$2:$AZ$20,9,0)</f>
        <v>0</v>
      </c>
      <c r="AQ61" s="6" t="n">
        <f aca="false">VLOOKUP($F61,Category!$A$2:$AZ$20,11,0)</f>
        <v>0.555555555555556</v>
      </c>
      <c r="AR61" s="6" t="n">
        <f aca="false">VLOOKUP($F61,Category!$A$2:$AZ$20,10,0)</f>
        <v>0.555555555555556</v>
      </c>
      <c r="AS61" s="6" t="n">
        <f aca="false">VLOOKUP($E61,Role!$A$2:$O$9,4,0)</f>
        <v>0.666</v>
      </c>
      <c r="AT61" s="7" t="n">
        <f aca="false">VLOOKUP($F61,Category!$A$2:$AZ$20,14,0)</f>
        <v>0.416666666666667</v>
      </c>
      <c r="AU61" s="7" t="n">
        <f aca="false">VLOOKUP($F61,Category!$A$2:$AZ$20,16,0)</f>
        <v>0.25</v>
      </c>
      <c r="AV61" s="7" t="n">
        <f aca="false">VLOOKUP($D61,Size!$A$2:$Z$14,17,0)</f>
        <v>2</v>
      </c>
      <c r="AW61" s="7" t="n">
        <f aca="false">VLOOKUP($E61,Role!$A$2:$O$9,3,0)</f>
        <v>0.666</v>
      </c>
      <c r="AX61" s="7" t="n">
        <f aca="false">VLOOKUP($F61,Category!$A$2:$AZ$20,29,0)</f>
        <v>0.333333333333333</v>
      </c>
      <c r="AY61" s="7" t="n">
        <f aca="false">VLOOKUP($F61,Category!$A$2:$AZ$20,31,0)</f>
        <v>0.333333333333333</v>
      </c>
      <c r="AZ61" s="7" t="n">
        <f aca="false">VLOOKUP($D61,Size!$A$2:$Z$14,16,0)</f>
        <v>5</v>
      </c>
      <c r="BA61" s="7" t="n">
        <f aca="false">VLOOKUP($E61,Role!$A$2:$O$9,2,0)</f>
        <v>0.666</v>
      </c>
      <c r="BC61" s="7" t="n">
        <f aca="false">VLOOKUP($D61,Size!$A$2:$Z$14,19,0)</f>
        <v>22</v>
      </c>
      <c r="BD61" s="7" t="n">
        <f aca="false">VLOOKUP($D61,Size!$A$2:$Z$14,20,0)</f>
        <v>6</v>
      </c>
      <c r="BE61" s="7" t="n">
        <f aca="false">VLOOKUP($E61,Role!$A$2:$O$9,12,0)</f>
        <v>1.25</v>
      </c>
      <c r="BF61" s="7" t="n">
        <f aca="false">VLOOKUP($C61,Type!$A$2:$B$4,2,0)</f>
        <v>1</v>
      </c>
      <c r="BG61" s="7" t="n">
        <f aca="false">VLOOKUP($D61,Size!$A$2:$Z$14,18,0)</f>
        <v>46.4833054890161</v>
      </c>
      <c r="BH61" s="7" t="n">
        <f aca="false">INT($BF61*$BG61*$BE61*$B61/2)</f>
        <v>29</v>
      </c>
      <c r="BI61" s="7" t="n">
        <f aca="false">INT(($BC61*$BF61)+($I61*$BD61))</f>
        <v>28</v>
      </c>
      <c r="BJ61" s="7" t="n">
        <f aca="false">INT((($I61*$BE61)+$BC61)*$BF61)</f>
        <v>23</v>
      </c>
      <c r="BK61" s="14"/>
      <c r="BL61" s="7" t="n">
        <f aca="false">VLOOKUP($E61,Role!$A$2:$O$9,13,0)</f>
        <v>1.25</v>
      </c>
      <c r="BM61" s="7" t="n">
        <f aca="false">VLOOKUP($E61,Role!$A$2:$O$9,11,0)</f>
        <v>0.666</v>
      </c>
      <c r="BO61" s="7" t="n">
        <f aca="false">VLOOKUP($E61,Role!$A$2:$O$9,8,0)</f>
        <v>0.75</v>
      </c>
      <c r="BP61" s="7" t="n">
        <f aca="false">VLOOKUP($E61,Role!$A$2:$O$9,9,0)</f>
        <v>0.75</v>
      </c>
      <c r="BQ61" s="7" t="n">
        <f aca="false">VLOOKUP($E61,Role!$A$2:$O$9,10,0)</f>
        <v>0.5</v>
      </c>
    </row>
    <row r="62" customFormat="false" ht="12.8" hidden="false" customHeight="false" outlineLevel="0" collapsed="false">
      <c r="C62" s="3" t="s">
        <v>63</v>
      </c>
      <c r="E62" s="1" t="s">
        <v>70</v>
      </c>
      <c r="H62" s="4" t="e">
        <f aca="false">VLOOKUP($D62,Size!$A$2:$Z$14,6,0)</f>
        <v>#N/A</v>
      </c>
      <c r="I62" s="13" t="e">
        <f aca="false">INT(($B62*$AZ62*$AX62*$BA62)+($B62*$AY62))</f>
        <v>#N/A</v>
      </c>
      <c r="J62" s="4" t="e">
        <f aca="false">ROUND((($B62*$AT62)+($AV62*$AU62))*$AW62,0)</f>
        <v>#N/A</v>
      </c>
      <c r="K62" s="4" t="e">
        <f aca="false">ROUND((($B62*$AP62)+($B62*$AQ62))*$AS62,0)</f>
        <v>#N/A</v>
      </c>
      <c r="L62" s="4" t="e">
        <f aca="false">ROUND((($B62*$AM62)+($B62*$AN62))*$AO62,0)</f>
        <v>#N/A</v>
      </c>
      <c r="M62" s="4" t="e">
        <f aca="false">ROUND((($B62*$AG62)+($B62*$AH62))*$AI62,0)</f>
        <v>#N/A</v>
      </c>
      <c r="N62" s="4" t="e">
        <f aca="false">ROUND((($B62*$AJ62)+($B62*$AK62))*$AL62,0)</f>
        <v>#N/A</v>
      </c>
      <c r="O62" s="4" t="n">
        <f aca="false">INT($BO62*$B62)</f>
        <v>0</v>
      </c>
      <c r="P62" s="4" t="n">
        <f aca="false">INT($BP62*$B62)</f>
        <v>0</v>
      </c>
      <c r="Q62" s="4" t="e">
        <f aca="false">INT($BQ62*$B62*$AR62)</f>
        <v>#N/A</v>
      </c>
      <c r="R62" s="4" t="e">
        <f aca="false">IF($R$1="WT/G",INT(POWER($BH62*$BJ62*$BI62,0.333333)),0)+IF($R$1="WT/A",INT(($BH62+$BJ62+$BI62)/3),0)+IF($R$1="WT/A2",INT(($BJ62+$BI62)/2),0)+IF($R$1="WT/W",INT(($BH62+$BJ62+$BJ62+$BI62)/4),0)+IF($R$1="WT/W2",INT(($BH62+$BJ62+$BI62+$BI62)/4),0)+IF($R$1="WT/N",INT(MIN($BH62,$BJ62,$BI62)),0)+IF($R$1="WT/M",INT(MAX($BH62,$BJ62,$BI62)),0)+IF($R$1="WT/1",INT($BH62),0)+IF($R$1="WT/2",INT($BI62),0)+IF($R$1="WT/3",INT($BJ62),0)</f>
        <v>#N/A</v>
      </c>
      <c r="S62" s="4" t="e">
        <f aca="false">INT((10+$M62)*$BL62)</f>
        <v>#N/A</v>
      </c>
      <c r="T62" s="4" t="e">
        <f aca="false">INT($I62*$BM62*$BF62)</f>
        <v>#N/A</v>
      </c>
      <c r="U62" s="2" t="e">
        <f aca="false">ROUND(MAX($J62,$L62)+(MIN($J62,$L62)*$X62),0)</f>
        <v>#N/A</v>
      </c>
      <c r="V62" s="2" t="e">
        <f aca="false">MAX(1,INT(((MIN($I62:$J62)+(MAX($I62:$J62)*$H62*$Y62)))*$Z62))</f>
        <v>#N/A</v>
      </c>
      <c r="X62" s="5" t="n">
        <f aca="false">VLOOKUP($E62,Role!$A$2:$O$9,14,0)</f>
        <v>1</v>
      </c>
      <c r="Y62" s="5" t="n">
        <f aca="false">VLOOKUP($E62,Role!$A$2:$O$9,15,0)</f>
        <v>1</v>
      </c>
      <c r="Z62" s="5" t="e">
        <f aca="false">VLOOKUP($G62,Movement!$A$2:$C$7,3,0)</f>
        <v>#N/A</v>
      </c>
      <c r="AB62" s="5" t="e">
        <f aca="false">INT(5+(($H62-1)/3))</f>
        <v>#N/A</v>
      </c>
      <c r="AC62" s="5" t="e">
        <f aca="false">IF($AB62&lt;$I62,$I62-MAX($AB62,$B62),0)</f>
        <v>#N/A</v>
      </c>
      <c r="AD62" s="5" t="e">
        <f aca="false">(5-ROUND(($H62-1)/3,0))</f>
        <v>#N/A</v>
      </c>
      <c r="AE62" s="5" t="e">
        <f aca="false">IF($AD62&lt;$J62,$J62-MAX($AD62,$B62),0)</f>
        <v>#N/A</v>
      </c>
      <c r="AG62" s="6" t="e">
        <f aca="false">VLOOKUP($F62,Category!$A$2:$AZ$20,24,0)</f>
        <v>#N/A</v>
      </c>
      <c r="AH62" s="6" t="e">
        <f aca="false">VLOOKUP($F62,Category!$A$2:$AZ$20,26,0)</f>
        <v>#N/A</v>
      </c>
      <c r="AI62" s="6" t="n">
        <f aca="false">VLOOKUP($E62,Role!$A$2:$O$9,6,0)</f>
        <v>0.666</v>
      </c>
      <c r="AJ62" s="6" t="e">
        <f aca="false">VLOOKUP($F62,Category!$A$2:$AZ$20,19,0)</f>
        <v>#N/A</v>
      </c>
      <c r="AK62" s="6" t="e">
        <f aca="false">VLOOKUP($F62,Category!$A$2:$AZ$20,21,0)</f>
        <v>#N/A</v>
      </c>
      <c r="AL62" s="6" t="n">
        <f aca="false">VLOOKUP($E62,Role!$A$2:$O$9,7,0)</f>
        <v>0.666</v>
      </c>
      <c r="AM62" s="6" t="e">
        <f aca="false">VLOOKUP($F62,Category!$A$2:$AZ$20,19,0)</f>
        <v>#N/A</v>
      </c>
      <c r="AN62" s="6" t="e">
        <f aca="false">VLOOKUP($F62,Category!$A$2:$AZ$20,21,0)</f>
        <v>#N/A</v>
      </c>
      <c r="AO62" s="6" t="n">
        <f aca="false">VLOOKUP($E62,Role!$A$2:$O$9,5,0)</f>
        <v>0.666</v>
      </c>
      <c r="AP62" s="6" t="e">
        <f aca="false">VLOOKUP($F62,Category!$A$2:$AZ$20,9,0)</f>
        <v>#N/A</v>
      </c>
      <c r="AQ62" s="6" t="e">
        <f aca="false">VLOOKUP($F62,Category!$A$2:$AZ$20,11,0)</f>
        <v>#N/A</v>
      </c>
      <c r="AR62" s="6" t="e">
        <f aca="false">VLOOKUP($F62,Category!$A$2:$AZ$20,10,0)</f>
        <v>#N/A</v>
      </c>
      <c r="AS62" s="6" t="n">
        <f aca="false">VLOOKUP($E62,Role!$A$2:$O$9,4,0)</f>
        <v>0.666</v>
      </c>
      <c r="AT62" s="7" t="e">
        <f aca="false">VLOOKUP($F62,Category!$A$2:$AZ$20,14,0)</f>
        <v>#N/A</v>
      </c>
      <c r="AU62" s="7" t="e">
        <f aca="false">VLOOKUP($F62,Category!$A$2:$AZ$20,16,0)</f>
        <v>#N/A</v>
      </c>
      <c r="AV62" s="7" t="e">
        <f aca="false">VLOOKUP($D62,Size!$A$2:$Z$14,17,0)</f>
        <v>#N/A</v>
      </c>
      <c r="AW62" s="7" t="n">
        <f aca="false">VLOOKUP($E62,Role!$A$2:$O$9,3,0)</f>
        <v>0.666</v>
      </c>
      <c r="AX62" s="7" t="e">
        <f aca="false">VLOOKUP($F62,Category!$A$2:$AZ$20,29,0)</f>
        <v>#N/A</v>
      </c>
      <c r="AY62" s="7" t="e">
        <f aca="false">VLOOKUP($F62,Category!$A$2:$AZ$20,31,0)</f>
        <v>#N/A</v>
      </c>
      <c r="AZ62" s="7" t="e">
        <f aca="false">VLOOKUP($D62,Size!$A$2:$Z$14,16,0)</f>
        <v>#N/A</v>
      </c>
      <c r="BA62" s="7" t="n">
        <f aca="false">VLOOKUP($E62,Role!$A$2:$O$9,2,0)</f>
        <v>0.666</v>
      </c>
      <c r="BC62" s="7" t="e">
        <f aca="false">VLOOKUP($D62,Size!$A$2:$Z$14,19,0)</f>
        <v>#N/A</v>
      </c>
      <c r="BD62" s="7" t="e">
        <f aca="false">VLOOKUP($D62,Size!$A$2:$Z$14,20,0)</f>
        <v>#N/A</v>
      </c>
      <c r="BE62" s="7" t="n">
        <f aca="false">VLOOKUP($E62,Role!$A$2:$O$9,12,0)</f>
        <v>1.25</v>
      </c>
      <c r="BF62" s="7" t="n">
        <f aca="false">VLOOKUP($C62,Type!$A$2:$B$4,2,0)</f>
        <v>1</v>
      </c>
      <c r="BG62" s="7" t="e">
        <f aca="false">VLOOKUP($D62,Size!$A$2:$Z$14,18,0)</f>
        <v>#N/A</v>
      </c>
      <c r="BH62" s="7" t="e">
        <f aca="false">INT($BF62*$BG62*$BE62*$B62/2)</f>
        <v>#N/A</v>
      </c>
      <c r="BI62" s="7" t="e">
        <f aca="false">INT(($BC62*$BF62)+($I62*$BD62))</f>
        <v>#N/A</v>
      </c>
      <c r="BJ62" s="7" t="e">
        <f aca="false">INT((($I62*$BE62)+$BC62)*$BF62)</f>
        <v>#N/A</v>
      </c>
      <c r="BK62" s="14"/>
      <c r="BL62" s="7" t="n">
        <f aca="false">VLOOKUP($E62,Role!$A$2:$O$9,13,0)</f>
        <v>1.25</v>
      </c>
      <c r="BM62" s="7" t="n">
        <f aca="false">VLOOKUP($E62,Role!$A$2:$O$9,11,0)</f>
        <v>0.666</v>
      </c>
      <c r="BO62" s="7" t="n">
        <f aca="false">VLOOKUP($E62,Role!$A$2:$O$9,8,0)</f>
        <v>0.75</v>
      </c>
      <c r="BP62" s="7" t="n">
        <f aca="false">VLOOKUP($E62,Role!$A$2:$O$9,9,0)</f>
        <v>0.75</v>
      </c>
      <c r="BQ62" s="7" t="n">
        <f aca="false">VLOOKUP($E62,Role!$A$2:$O$9,10,0)</f>
        <v>0.5</v>
      </c>
    </row>
    <row r="63" customFormat="false" ht="12.8" hidden="false" customHeight="false" outlineLevel="0" collapsed="false">
      <c r="B63" s="2" t="n">
        <v>2</v>
      </c>
      <c r="C63" s="3" t="s">
        <v>63</v>
      </c>
      <c r="D63" s="1" t="s">
        <v>78</v>
      </c>
      <c r="E63" s="1" t="s">
        <v>70</v>
      </c>
      <c r="F63" s="1" t="s">
        <v>79</v>
      </c>
      <c r="G63" s="1" t="s">
        <v>80</v>
      </c>
      <c r="H63" s="4" t="n">
        <f aca="false">VLOOKUP($D63,Size!$A$2:$Z$14,6,0)</f>
        <v>-3</v>
      </c>
      <c r="I63" s="13" t="n">
        <f aca="false">INT(($B63*$AZ63*$AX63*$BA63)+($B63*$AY63))</f>
        <v>1</v>
      </c>
      <c r="J63" s="4" t="n">
        <f aca="false">ROUND((($B63*$AT63)+($AV63*$AU63))*$AW63,0)</f>
        <v>1</v>
      </c>
      <c r="K63" s="4" t="n">
        <f aca="false">ROUND((($B63*$AP63)+($B63*$AQ63))*$AS63,0)</f>
        <v>1</v>
      </c>
      <c r="L63" s="4" t="n">
        <f aca="false">ROUND((($B63*$AM63)+($B63*$AN63))*$AO63,0)</f>
        <v>1</v>
      </c>
      <c r="M63" s="4" t="n">
        <f aca="false">ROUND((($B63*$AG63)+($B63*$AH63))*$AI63,0)</f>
        <v>0</v>
      </c>
      <c r="N63" s="4" t="n">
        <f aca="false">ROUND((($B63*$AJ63)+($B63*$AK63))*$AL63,0)</f>
        <v>1</v>
      </c>
      <c r="O63" s="4" t="n">
        <f aca="false">INT($BO63*$B63)</f>
        <v>1</v>
      </c>
      <c r="P63" s="4" t="n">
        <f aca="false">INT($BP63*$B63)</f>
        <v>1</v>
      </c>
      <c r="Q63" s="4" t="n">
        <f aca="false">INT($BQ63*$B63*$AR63)</f>
        <v>0</v>
      </c>
      <c r="R63" s="4" t="n">
        <f aca="false">IF($R$1="WT/G",INT(POWER($BH63*$BJ63*$BI63,0.333333)),0)+IF($R$1="WT/A",INT(($BH63+$BJ63+$BI63)/3),0)+IF($R$1="WT/A2",INT(($BJ63+$BI63)/2),0)+IF($R$1="WT/W",INT(($BH63+$BJ63+$BJ63+$BI63)/4),0)+IF($R$1="WT/W2",INT(($BH63+$BJ63+$BI63+$BI63)/4),0)+IF($R$1="WT/N",INT(MIN($BH63,$BJ63,$BI63)),0)+IF($R$1="WT/M",INT(MAX($BH63,$BJ63,$BI63)),0)+IF($R$1="WT/1",INT($BH63),0)+IF($R$1="WT/2",INT($BI63),0)+IF($R$1="WT/3",INT($BJ63),0)</f>
        <v>5</v>
      </c>
      <c r="S63" s="4" t="n">
        <f aca="false">INT((10+$M63)*$BL63)</f>
        <v>12</v>
      </c>
      <c r="T63" s="4" t="n">
        <f aca="false">INT($I63*$BM63*$BF63)</f>
        <v>0</v>
      </c>
      <c r="U63" s="2" t="n">
        <f aca="false">ROUND(MAX($J63,$L63)+(MIN($J63,$L63)*$X63),0)</f>
        <v>2</v>
      </c>
      <c r="V63" s="2" t="n">
        <f aca="false">MAX(1,INT(((MIN($I63:$J63)+(MAX($I63:$J63)*$H63*$Y63)))*$Z63))</f>
        <v>1</v>
      </c>
      <c r="X63" s="5" t="n">
        <f aca="false">VLOOKUP($E63,Role!$A$2:$O$9,14,0)</f>
        <v>1</v>
      </c>
      <c r="Y63" s="5" t="n">
        <f aca="false">VLOOKUP($E63,Role!$A$2:$O$9,15,0)</f>
        <v>1</v>
      </c>
      <c r="Z63" s="5" t="n">
        <f aca="false">VLOOKUP($G63,Movement!$A$2:$C$7,3,0)</f>
        <v>1.5</v>
      </c>
      <c r="AB63" s="5" t="n">
        <f aca="false">INT(5+(($H63-1)/3))</f>
        <v>3</v>
      </c>
      <c r="AC63" s="5" t="n">
        <f aca="false">IF($AB63&lt;$I63,$I63-MAX($AB63,$B63),0)</f>
        <v>0</v>
      </c>
      <c r="AD63" s="5" t="n">
        <f aca="false">(5-ROUND(($H63-1)/3,0))</f>
        <v>6</v>
      </c>
      <c r="AE63" s="5" t="n">
        <f aca="false">IF($AD63&lt;$J63,$J63-MAX($AD63,$B63),0)</f>
        <v>0</v>
      </c>
      <c r="AG63" s="6" t="n">
        <f aca="false">VLOOKUP($F63,Category!$A$2:$AZ$20,24,0)</f>
        <v>0</v>
      </c>
      <c r="AH63" s="6" t="n">
        <f aca="false">VLOOKUP($F63,Category!$A$2:$AZ$20,26,0)</f>
        <v>0.333333333333333</v>
      </c>
      <c r="AI63" s="6" t="n">
        <f aca="false">VLOOKUP($E63,Role!$A$2:$O$9,6,0)</f>
        <v>0.666</v>
      </c>
      <c r="AJ63" s="6" t="n">
        <f aca="false">VLOOKUP($F63,Category!$A$2:$AZ$20,19,0)</f>
        <v>0.0909090909090909</v>
      </c>
      <c r="AK63" s="6" t="n">
        <f aca="false">VLOOKUP($F63,Category!$A$2:$AZ$20,21,0)</f>
        <v>0.545454545454545</v>
      </c>
      <c r="AL63" s="6" t="n">
        <f aca="false">VLOOKUP($E63,Role!$A$2:$O$9,7,0)</f>
        <v>0.666</v>
      </c>
      <c r="AM63" s="6" t="n">
        <f aca="false">VLOOKUP($F63,Category!$A$2:$AZ$20,19,0)</f>
        <v>0.0909090909090909</v>
      </c>
      <c r="AN63" s="6" t="n">
        <f aca="false">VLOOKUP($F63,Category!$A$2:$AZ$20,21,0)</f>
        <v>0.545454545454545</v>
      </c>
      <c r="AO63" s="6" t="n">
        <f aca="false">VLOOKUP($E63,Role!$A$2:$O$9,5,0)</f>
        <v>0.666</v>
      </c>
      <c r="AP63" s="6" t="n">
        <f aca="false">VLOOKUP($F63,Category!$A$2:$AZ$20,9,0)</f>
        <v>0</v>
      </c>
      <c r="AQ63" s="6" t="n">
        <f aca="false">VLOOKUP($F63,Category!$A$2:$AZ$20,11,0)</f>
        <v>0.555555555555556</v>
      </c>
      <c r="AR63" s="6" t="n">
        <f aca="false">VLOOKUP($F63,Category!$A$2:$AZ$20,10,0)</f>
        <v>0.555555555555556</v>
      </c>
      <c r="AS63" s="6" t="n">
        <f aca="false">VLOOKUP($E63,Role!$A$2:$O$9,4,0)</f>
        <v>0.666</v>
      </c>
      <c r="AT63" s="7" t="n">
        <f aca="false">VLOOKUP($F63,Category!$A$2:$AZ$20,14,0)</f>
        <v>0.416666666666667</v>
      </c>
      <c r="AU63" s="7" t="n">
        <f aca="false">VLOOKUP($F63,Category!$A$2:$AZ$20,16,0)</f>
        <v>0.25</v>
      </c>
      <c r="AV63" s="7" t="n">
        <f aca="false">VLOOKUP($D63,Size!$A$2:$Z$14,17,0)</f>
        <v>4</v>
      </c>
      <c r="AW63" s="7" t="n">
        <f aca="false">VLOOKUP($E63,Role!$A$2:$O$9,3,0)</f>
        <v>0.666</v>
      </c>
      <c r="AX63" s="7" t="n">
        <f aca="false">VLOOKUP($F63,Category!$A$2:$AZ$20,29,0)</f>
        <v>0.333333333333333</v>
      </c>
      <c r="AY63" s="7" t="n">
        <f aca="false">VLOOKUP($F63,Category!$A$2:$AZ$20,31,0)</f>
        <v>0.333333333333333</v>
      </c>
      <c r="AZ63" s="7" t="n">
        <f aca="false">VLOOKUP($D63,Size!$A$2:$Z$14,16,0)</f>
        <v>1</v>
      </c>
      <c r="BA63" s="7" t="n">
        <f aca="false">VLOOKUP($E63,Role!$A$2:$O$9,2,0)</f>
        <v>0.666</v>
      </c>
      <c r="BC63" s="7" t="n">
        <f aca="false">VLOOKUP($D63,Size!$A$2:$Z$14,19,0)</f>
        <v>6</v>
      </c>
      <c r="BD63" s="7" t="n">
        <f aca="false">VLOOKUP($D63,Size!$A$2:$Z$14,20,0)</f>
        <v>0.33</v>
      </c>
      <c r="BE63" s="7" t="n">
        <f aca="false">VLOOKUP($E63,Role!$A$2:$O$9,12,0)</f>
        <v>1.25</v>
      </c>
      <c r="BF63" s="7" t="n">
        <f aca="false">VLOOKUP($C63,Type!$A$2:$B$4,2,0)</f>
        <v>1</v>
      </c>
      <c r="BG63" s="7" t="n">
        <f aca="false">VLOOKUP($D63,Size!$A$2:$Z$14,18,0)</f>
        <v>2.71683715631514</v>
      </c>
      <c r="BH63" s="7" t="n">
        <f aca="false">INT($BF63*$BG63*$BE63*$B63/2)</f>
        <v>3</v>
      </c>
      <c r="BI63" s="7" t="n">
        <f aca="false">INT(($BC63*$BF63)+($I63*$BD63))</f>
        <v>6</v>
      </c>
      <c r="BJ63" s="7" t="n">
        <f aca="false">INT((($I63*$BE63)+$BC63)*$BF63)</f>
        <v>7</v>
      </c>
      <c r="BK63" s="14"/>
      <c r="BL63" s="7" t="n">
        <f aca="false">VLOOKUP($E63,Role!$A$2:$O$9,13,0)</f>
        <v>1.25</v>
      </c>
      <c r="BM63" s="7" t="n">
        <f aca="false">VLOOKUP($E63,Role!$A$2:$O$9,11,0)</f>
        <v>0.666</v>
      </c>
      <c r="BO63" s="7" t="n">
        <f aca="false">VLOOKUP($E63,Role!$A$2:$O$9,8,0)</f>
        <v>0.75</v>
      </c>
      <c r="BP63" s="7" t="n">
        <f aca="false">VLOOKUP($E63,Role!$A$2:$O$9,9,0)</f>
        <v>0.75</v>
      </c>
      <c r="BQ63" s="7" t="n">
        <f aca="false">VLOOKUP($E63,Role!$A$2:$O$9,10,0)</f>
        <v>0.5</v>
      </c>
    </row>
    <row r="64" customFormat="false" ht="12.8" hidden="false" customHeight="false" outlineLevel="0" collapsed="false">
      <c r="B64" s="2" t="n">
        <v>2</v>
      </c>
      <c r="C64" s="3" t="s">
        <v>63</v>
      </c>
      <c r="D64" s="1" t="s">
        <v>81</v>
      </c>
      <c r="E64" s="1" t="s">
        <v>70</v>
      </c>
      <c r="F64" s="1" t="s">
        <v>79</v>
      </c>
      <c r="G64" s="1" t="s">
        <v>80</v>
      </c>
      <c r="H64" s="4" t="n">
        <f aca="false">VLOOKUP($D64,Size!$A$2:$Z$14,6,0)</f>
        <v>-2</v>
      </c>
      <c r="I64" s="13" t="n">
        <f aca="false">INT(($B64*$AZ64*$AX64*$BA64)+($B64*$AY64))</f>
        <v>1</v>
      </c>
      <c r="J64" s="4" t="n">
        <f aca="false">ROUND((($B64*$AT64)+($AV64*$AU64))*$AW64,0)</f>
        <v>1</v>
      </c>
      <c r="K64" s="4" t="n">
        <f aca="false">ROUND((($B64*$AP64)+($B64*$AQ64))*$AS64,0)</f>
        <v>1</v>
      </c>
      <c r="L64" s="4" t="n">
        <f aca="false">ROUND((($B64*$AM64)+($B64*$AN64))*$AO64,0)</f>
        <v>1</v>
      </c>
      <c r="M64" s="4" t="n">
        <f aca="false">ROUND((($B64*$AG64)+($B64*$AH64))*$AI64,0)</f>
        <v>0</v>
      </c>
      <c r="N64" s="4" t="n">
        <f aca="false">ROUND((($B64*$AJ64)+($B64*$AK64))*$AL64,0)</f>
        <v>1</v>
      </c>
      <c r="O64" s="4" t="n">
        <f aca="false">INT($BO64*$B64)</f>
        <v>1</v>
      </c>
      <c r="P64" s="4" t="n">
        <f aca="false">INT($BP64*$B64)</f>
        <v>1</v>
      </c>
      <c r="Q64" s="4" t="n">
        <f aca="false">INT($BQ64*$B64*$AR64)</f>
        <v>0</v>
      </c>
      <c r="R64" s="4" t="n">
        <f aca="false">IF($R$1="WT/G",INT(POWER($BH64*$BJ64*$BI64,0.333333)),0)+IF($R$1="WT/A",INT(($BH64+$BJ64+$BI64)/3),0)+IF($R$1="WT/A2",INT(($BJ64+$BI64)/2),0)+IF($R$1="WT/W",INT(($BH64+$BJ64+$BJ64+$BI64)/4),0)+IF($R$1="WT/W2",INT(($BH64+$BJ64+$BI64+$BI64)/4),0)+IF($R$1="WT/N",INT(MIN($BH64,$BJ64,$BI64)),0)+IF($R$1="WT/M",INT(MAX($BH64,$BJ64,$BI64)),0)+IF($R$1="WT/1",INT($BH64),0)+IF($R$1="WT/2",INT($BI64),0)+IF($R$1="WT/3",INT($BJ64),0)</f>
        <v>7</v>
      </c>
      <c r="S64" s="4" t="n">
        <f aca="false">INT((10+$M64)*$BL64)</f>
        <v>12</v>
      </c>
      <c r="T64" s="4" t="n">
        <f aca="false">INT($I64*$BM64*$BF64)</f>
        <v>0</v>
      </c>
      <c r="U64" s="2" t="n">
        <f aca="false">ROUND(MAX($J64,$L64)+(MIN($J64,$L64)*$X64),0)</f>
        <v>2</v>
      </c>
      <c r="V64" s="2" t="n">
        <f aca="false">MAX(1,INT(((MIN($I64:$J64)+(MAX($I64:$J64)*$H64*$Y64)))*$Z64))</f>
        <v>1</v>
      </c>
      <c r="X64" s="5" t="n">
        <f aca="false">VLOOKUP($E64,Role!$A$2:$O$9,14,0)</f>
        <v>1</v>
      </c>
      <c r="Y64" s="5" t="n">
        <f aca="false">VLOOKUP($E64,Role!$A$2:$O$9,15,0)</f>
        <v>1</v>
      </c>
      <c r="Z64" s="5" t="n">
        <f aca="false">VLOOKUP($G64,Movement!$A$2:$C$7,3,0)</f>
        <v>1.5</v>
      </c>
      <c r="AB64" s="5" t="n">
        <f aca="false">INT(5+(($H64-1)/3))</f>
        <v>4</v>
      </c>
      <c r="AC64" s="5" t="n">
        <f aca="false">IF($AB64&lt;$I64,$I64-MAX($AB64,$B64),0)</f>
        <v>0</v>
      </c>
      <c r="AD64" s="5" t="n">
        <f aca="false">(5-ROUND(($H64-1)/3,0))</f>
        <v>6</v>
      </c>
      <c r="AE64" s="5" t="n">
        <f aca="false">IF($AD64&lt;$J64,$J64-MAX($AD64,$B64),0)</f>
        <v>0</v>
      </c>
      <c r="AG64" s="6" t="n">
        <f aca="false">VLOOKUP($F64,Category!$A$2:$AZ$20,24,0)</f>
        <v>0</v>
      </c>
      <c r="AH64" s="6" t="n">
        <f aca="false">VLOOKUP($F64,Category!$A$2:$AZ$20,26,0)</f>
        <v>0.333333333333333</v>
      </c>
      <c r="AI64" s="6" t="n">
        <f aca="false">VLOOKUP($E64,Role!$A$2:$O$9,6,0)</f>
        <v>0.666</v>
      </c>
      <c r="AJ64" s="6" t="n">
        <f aca="false">VLOOKUP($F64,Category!$A$2:$AZ$20,19,0)</f>
        <v>0.0909090909090909</v>
      </c>
      <c r="AK64" s="6" t="n">
        <f aca="false">VLOOKUP($F64,Category!$A$2:$AZ$20,21,0)</f>
        <v>0.545454545454545</v>
      </c>
      <c r="AL64" s="6" t="n">
        <f aca="false">VLOOKUP($E64,Role!$A$2:$O$9,7,0)</f>
        <v>0.666</v>
      </c>
      <c r="AM64" s="6" t="n">
        <f aca="false">VLOOKUP($F64,Category!$A$2:$AZ$20,19,0)</f>
        <v>0.0909090909090909</v>
      </c>
      <c r="AN64" s="6" t="n">
        <f aca="false">VLOOKUP($F64,Category!$A$2:$AZ$20,21,0)</f>
        <v>0.545454545454545</v>
      </c>
      <c r="AO64" s="6" t="n">
        <f aca="false">VLOOKUP($E64,Role!$A$2:$O$9,5,0)</f>
        <v>0.666</v>
      </c>
      <c r="AP64" s="6" t="n">
        <f aca="false">VLOOKUP($F64,Category!$A$2:$AZ$20,9,0)</f>
        <v>0</v>
      </c>
      <c r="AQ64" s="6" t="n">
        <f aca="false">VLOOKUP($F64,Category!$A$2:$AZ$20,11,0)</f>
        <v>0.555555555555556</v>
      </c>
      <c r="AR64" s="6" t="n">
        <f aca="false">VLOOKUP($F64,Category!$A$2:$AZ$20,10,0)</f>
        <v>0.555555555555556</v>
      </c>
      <c r="AS64" s="6" t="n">
        <f aca="false">VLOOKUP($E64,Role!$A$2:$O$9,4,0)</f>
        <v>0.666</v>
      </c>
      <c r="AT64" s="7" t="n">
        <f aca="false">VLOOKUP($F64,Category!$A$2:$AZ$20,14,0)</f>
        <v>0.416666666666667</v>
      </c>
      <c r="AU64" s="7" t="n">
        <f aca="false">VLOOKUP($F64,Category!$A$2:$AZ$20,16,0)</f>
        <v>0.25</v>
      </c>
      <c r="AV64" s="7" t="n">
        <f aca="false">VLOOKUP($D64,Size!$A$2:$Z$14,17,0)</f>
        <v>3</v>
      </c>
      <c r="AW64" s="7" t="n">
        <f aca="false">VLOOKUP($E64,Role!$A$2:$O$9,3,0)</f>
        <v>0.666</v>
      </c>
      <c r="AX64" s="7" t="n">
        <f aca="false">VLOOKUP($F64,Category!$A$2:$AZ$20,29,0)</f>
        <v>0.333333333333333</v>
      </c>
      <c r="AY64" s="7" t="n">
        <f aca="false">VLOOKUP($F64,Category!$A$2:$AZ$20,31,0)</f>
        <v>0.333333333333333</v>
      </c>
      <c r="AZ64" s="7" t="n">
        <f aca="false">VLOOKUP($D64,Size!$A$2:$Z$14,16,0)</f>
        <v>2</v>
      </c>
      <c r="BA64" s="7" t="n">
        <f aca="false">VLOOKUP($E64,Role!$A$2:$O$9,2,0)</f>
        <v>0.666</v>
      </c>
      <c r="BC64" s="7" t="n">
        <f aca="false">VLOOKUP($D64,Size!$A$2:$Z$14,19,0)</f>
        <v>7</v>
      </c>
      <c r="BD64" s="7" t="n">
        <f aca="false">VLOOKUP($D64,Size!$A$2:$Z$14,20,0)</f>
        <v>0.5</v>
      </c>
      <c r="BE64" s="7" t="n">
        <f aca="false">VLOOKUP($E64,Role!$A$2:$O$9,12,0)</f>
        <v>1.25</v>
      </c>
      <c r="BF64" s="7" t="n">
        <f aca="false">VLOOKUP($C64,Type!$A$2:$B$4,2,0)</f>
        <v>1</v>
      </c>
      <c r="BG64" s="7" t="n">
        <f aca="false">VLOOKUP($D64,Size!$A$2:$Z$14,18,0)</f>
        <v>6.5643914849257</v>
      </c>
      <c r="BH64" s="7" t="n">
        <f aca="false">INT($BF64*$BG64*$BE64*$B64/2)</f>
        <v>8</v>
      </c>
      <c r="BI64" s="7" t="n">
        <f aca="false">INT(($BC64*$BF64)+($I64*$BD64))</f>
        <v>7</v>
      </c>
      <c r="BJ64" s="7" t="n">
        <f aca="false">INT((($I64*$BE64)+$BC64)*$BF64)</f>
        <v>8</v>
      </c>
      <c r="BK64" s="14"/>
      <c r="BL64" s="7" t="n">
        <f aca="false">VLOOKUP($E64,Role!$A$2:$O$9,13,0)</f>
        <v>1.25</v>
      </c>
      <c r="BM64" s="7" t="n">
        <f aca="false">VLOOKUP($E64,Role!$A$2:$O$9,11,0)</f>
        <v>0.666</v>
      </c>
      <c r="BO64" s="7" t="n">
        <f aca="false">VLOOKUP($E64,Role!$A$2:$O$9,8,0)</f>
        <v>0.75</v>
      </c>
      <c r="BP64" s="7" t="n">
        <f aca="false">VLOOKUP($E64,Role!$A$2:$O$9,9,0)</f>
        <v>0.75</v>
      </c>
      <c r="BQ64" s="7" t="n">
        <f aca="false">VLOOKUP($E64,Role!$A$2:$O$9,10,0)</f>
        <v>0.5</v>
      </c>
    </row>
    <row r="65" customFormat="false" ht="12.8" hidden="false" customHeight="false" outlineLevel="0" collapsed="false">
      <c r="B65" s="2" t="n">
        <v>2</v>
      </c>
      <c r="C65" s="3" t="s">
        <v>63</v>
      </c>
      <c r="D65" s="1" t="s">
        <v>82</v>
      </c>
      <c r="E65" s="1" t="s">
        <v>70</v>
      </c>
      <c r="F65" s="1" t="s">
        <v>79</v>
      </c>
      <c r="G65" s="1" t="s">
        <v>80</v>
      </c>
      <c r="H65" s="4" t="n">
        <f aca="false">VLOOKUP($D65,Size!$A$2:$Z$14,6,0)</f>
        <v>-1</v>
      </c>
      <c r="I65" s="13" t="n">
        <f aca="false">INT(($B65*$AZ65*$AX65*$BA65)+($B65*$AY65))</f>
        <v>1</v>
      </c>
      <c r="J65" s="4" t="n">
        <f aca="false">ROUND((($B65*$AT65)+($AV65*$AU65))*$AW65,0)</f>
        <v>1</v>
      </c>
      <c r="K65" s="4" t="n">
        <f aca="false">ROUND((($B65*$AP65)+($B65*$AQ65))*$AS65,0)</f>
        <v>1</v>
      </c>
      <c r="L65" s="4" t="n">
        <f aca="false">ROUND((($B65*$AM65)+($B65*$AN65))*$AO65,0)</f>
        <v>1</v>
      </c>
      <c r="M65" s="4" t="n">
        <f aca="false">ROUND((($B65*$AG65)+($B65*$AH65))*$AI65,0)</f>
        <v>0</v>
      </c>
      <c r="N65" s="4" t="n">
        <f aca="false">ROUND((($B65*$AJ65)+($B65*$AK65))*$AL65,0)</f>
        <v>1</v>
      </c>
      <c r="O65" s="4" t="n">
        <f aca="false">INT($BO65*$B65)</f>
        <v>1</v>
      </c>
      <c r="P65" s="4" t="n">
        <f aca="false">INT($BP65*$B65)</f>
        <v>1</v>
      </c>
      <c r="Q65" s="4" t="n">
        <f aca="false">INT($BQ65*$B65*$AR65)</f>
        <v>0</v>
      </c>
      <c r="R65" s="4" t="n">
        <f aca="false">IF($R$1="WT/G",INT(POWER($BH65*$BJ65*$BI65,0.333333)),0)+IF($R$1="WT/A",INT(($BH65+$BJ65+$BI65)/3),0)+IF($R$1="WT/A2",INT(($BJ65+$BI65)/2),0)+IF($R$1="WT/W",INT(($BH65+$BJ65+$BJ65+$BI65)/4),0)+IF($R$1="WT/W2",INT(($BH65+$BJ65+$BI65+$BI65)/4),0)+IF($R$1="WT/N",INT(MIN($BH65,$BJ65,$BI65)),0)+IF($R$1="WT/M",INT(MAX($BH65,$BJ65,$BI65)),0)+IF($R$1="WT/1",INT($BH65),0)+IF($R$1="WT/2",INT($BI65),0)+IF($R$1="WT/3",INT($BJ65),0)</f>
        <v>8</v>
      </c>
      <c r="S65" s="4" t="n">
        <f aca="false">INT((10+$M65)*$BL65)</f>
        <v>12</v>
      </c>
      <c r="T65" s="4" t="n">
        <f aca="false">INT($I65*$BM65*$BF65)</f>
        <v>0</v>
      </c>
      <c r="U65" s="2" t="n">
        <f aca="false">ROUND(MAX($J65,$L65)+(MIN($J65,$L65)*$X65),0)</f>
        <v>2</v>
      </c>
      <c r="V65" s="2" t="n">
        <f aca="false">MAX(1,INT(((MIN($I65:$J65)+(MAX($I65:$J65)*$H65*$Y65)))*$Z65))</f>
        <v>1</v>
      </c>
      <c r="X65" s="5" t="n">
        <f aca="false">VLOOKUP($E65,Role!$A$2:$O$9,14,0)</f>
        <v>1</v>
      </c>
      <c r="Y65" s="5" t="n">
        <f aca="false">VLOOKUP($E65,Role!$A$2:$O$9,15,0)</f>
        <v>1</v>
      </c>
      <c r="Z65" s="5" t="n">
        <f aca="false">VLOOKUP($G65,Movement!$A$2:$C$7,3,0)</f>
        <v>1.5</v>
      </c>
      <c r="AB65" s="5" t="n">
        <f aca="false">INT(5+(($H65-1)/3))</f>
        <v>4</v>
      </c>
      <c r="AC65" s="5" t="n">
        <f aca="false">IF($AB65&lt;$I65,$I65-MAX($AB65,$B65),0)</f>
        <v>0</v>
      </c>
      <c r="AD65" s="5" t="n">
        <f aca="false">(5-ROUND(($H65-1)/3,0))</f>
        <v>6</v>
      </c>
      <c r="AE65" s="5" t="n">
        <f aca="false">IF($AD65&lt;$J65,$J65-MAX($AD65,$B65),0)</f>
        <v>0</v>
      </c>
      <c r="AG65" s="6" t="n">
        <f aca="false">VLOOKUP($F65,Category!$A$2:$AZ$20,24,0)</f>
        <v>0</v>
      </c>
      <c r="AH65" s="6" t="n">
        <f aca="false">VLOOKUP($F65,Category!$A$2:$AZ$20,26,0)</f>
        <v>0.333333333333333</v>
      </c>
      <c r="AI65" s="6" t="n">
        <f aca="false">VLOOKUP($E65,Role!$A$2:$O$9,6,0)</f>
        <v>0.666</v>
      </c>
      <c r="AJ65" s="6" t="n">
        <f aca="false">VLOOKUP($F65,Category!$A$2:$AZ$20,19,0)</f>
        <v>0.0909090909090909</v>
      </c>
      <c r="AK65" s="6" t="n">
        <f aca="false">VLOOKUP($F65,Category!$A$2:$AZ$20,21,0)</f>
        <v>0.545454545454545</v>
      </c>
      <c r="AL65" s="6" t="n">
        <f aca="false">VLOOKUP($E65,Role!$A$2:$O$9,7,0)</f>
        <v>0.666</v>
      </c>
      <c r="AM65" s="6" t="n">
        <f aca="false">VLOOKUP($F65,Category!$A$2:$AZ$20,19,0)</f>
        <v>0.0909090909090909</v>
      </c>
      <c r="AN65" s="6" t="n">
        <f aca="false">VLOOKUP($F65,Category!$A$2:$AZ$20,21,0)</f>
        <v>0.545454545454545</v>
      </c>
      <c r="AO65" s="6" t="n">
        <f aca="false">VLOOKUP($E65,Role!$A$2:$O$9,5,0)</f>
        <v>0.666</v>
      </c>
      <c r="AP65" s="6" t="n">
        <f aca="false">VLOOKUP($F65,Category!$A$2:$AZ$20,9,0)</f>
        <v>0</v>
      </c>
      <c r="AQ65" s="6" t="n">
        <f aca="false">VLOOKUP($F65,Category!$A$2:$AZ$20,11,0)</f>
        <v>0.555555555555556</v>
      </c>
      <c r="AR65" s="6" t="n">
        <f aca="false">VLOOKUP($F65,Category!$A$2:$AZ$20,10,0)</f>
        <v>0.555555555555556</v>
      </c>
      <c r="AS65" s="6" t="n">
        <f aca="false">VLOOKUP($E65,Role!$A$2:$O$9,4,0)</f>
        <v>0.666</v>
      </c>
      <c r="AT65" s="7" t="n">
        <f aca="false">VLOOKUP($F65,Category!$A$2:$AZ$20,14,0)</f>
        <v>0.416666666666667</v>
      </c>
      <c r="AU65" s="7" t="n">
        <f aca="false">VLOOKUP($F65,Category!$A$2:$AZ$20,16,0)</f>
        <v>0.25</v>
      </c>
      <c r="AV65" s="7" t="n">
        <f aca="false">VLOOKUP($D65,Size!$A$2:$Z$14,17,0)</f>
        <v>3</v>
      </c>
      <c r="AW65" s="7" t="n">
        <f aca="false">VLOOKUP($E65,Role!$A$2:$O$9,3,0)</f>
        <v>0.666</v>
      </c>
      <c r="AX65" s="7" t="n">
        <f aca="false">VLOOKUP($F65,Category!$A$2:$AZ$20,29,0)</f>
        <v>0.333333333333333</v>
      </c>
      <c r="AY65" s="7" t="n">
        <f aca="false">VLOOKUP($F65,Category!$A$2:$AZ$20,31,0)</f>
        <v>0.333333333333333</v>
      </c>
      <c r="AZ65" s="7" t="n">
        <f aca="false">VLOOKUP($D65,Size!$A$2:$Z$14,16,0)</f>
        <v>2</v>
      </c>
      <c r="BA65" s="7" t="n">
        <f aca="false">VLOOKUP($E65,Role!$A$2:$O$9,2,0)</f>
        <v>0.666</v>
      </c>
      <c r="BC65" s="7" t="n">
        <f aca="false">VLOOKUP($D65,Size!$A$2:$Z$14,19,0)</f>
        <v>8</v>
      </c>
      <c r="BD65" s="7" t="n">
        <f aca="false">VLOOKUP($D65,Size!$A$2:$Z$14,20,0)</f>
        <v>0.66</v>
      </c>
      <c r="BE65" s="7" t="n">
        <f aca="false">VLOOKUP($E65,Role!$A$2:$O$9,12,0)</f>
        <v>1.25</v>
      </c>
      <c r="BF65" s="7" t="n">
        <f aca="false">VLOOKUP($C65,Type!$A$2:$B$4,2,0)</f>
        <v>1</v>
      </c>
      <c r="BG65" s="7" t="n">
        <f aca="false">VLOOKUP($D65,Size!$A$2:$Z$14,18,0)</f>
        <v>8.28567304322775</v>
      </c>
      <c r="BH65" s="7" t="n">
        <f aca="false">INT($BF65*$BG65*$BE65*$B65/2)</f>
        <v>10</v>
      </c>
      <c r="BI65" s="7" t="n">
        <f aca="false">INT(($BC65*$BF65)+($I65*$BD65))</f>
        <v>8</v>
      </c>
      <c r="BJ65" s="7" t="n">
        <f aca="false">INT((($I65*$BE65)+$BC65)*$BF65)</f>
        <v>9</v>
      </c>
      <c r="BK65" s="14"/>
      <c r="BL65" s="7" t="n">
        <f aca="false">VLOOKUP($E65,Role!$A$2:$O$9,13,0)</f>
        <v>1.25</v>
      </c>
      <c r="BM65" s="7" t="n">
        <f aca="false">VLOOKUP($E65,Role!$A$2:$O$9,11,0)</f>
        <v>0.666</v>
      </c>
      <c r="BO65" s="7" t="n">
        <f aca="false">VLOOKUP($E65,Role!$A$2:$O$9,8,0)</f>
        <v>0.75</v>
      </c>
      <c r="BP65" s="7" t="n">
        <f aca="false">VLOOKUP($E65,Role!$A$2:$O$9,9,0)</f>
        <v>0.75</v>
      </c>
      <c r="BQ65" s="7" t="n">
        <f aca="false">VLOOKUP($E65,Role!$A$2:$O$9,10,0)</f>
        <v>0.5</v>
      </c>
    </row>
    <row r="66" customFormat="false" ht="12.8" hidden="false" customHeight="false" outlineLevel="0" collapsed="false">
      <c r="B66" s="2" t="n">
        <v>2</v>
      </c>
      <c r="C66" s="3" t="s">
        <v>63</v>
      </c>
      <c r="D66" s="1" t="s">
        <v>83</v>
      </c>
      <c r="E66" s="1" t="s">
        <v>70</v>
      </c>
      <c r="F66" s="1" t="s">
        <v>79</v>
      </c>
      <c r="G66" s="1" t="s">
        <v>80</v>
      </c>
      <c r="H66" s="4" t="n">
        <f aca="false">VLOOKUP($D66,Size!$A$2:$Z$14,6,0)</f>
        <v>0</v>
      </c>
      <c r="I66" s="13" t="n">
        <f aca="false">INT(($B66*$AZ66*$AX66*$BA66)+($B66*$AY66))</f>
        <v>1</v>
      </c>
      <c r="J66" s="4" t="n">
        <f aca="false">ROUND((($B66*$AT66)+($AV66*$AU66))*$AW66,0)</f>
        <v>1</v>
      </c>
      <c r="K66" s="4" t="n">
        <f aca="false">ROUND((($B66*$AP66)+($B66*$AQ66))*$AS66,0)</f>
        <v>1</v>
      </c>
      <c r="L66" s="4" t="n">
        <f aca="false">ROUND((($B66*$AM66)+($B66*$AN66))*$AO66,0)</f>
        <v>1</v>
      </c>
      <c r="M66" s="4" t="n">
        <f aca="false">ROUND((($B66*$AG66)+($B66*$AH66))*$AI66,0)</f>
        <v>0</v>
      </c>
      <c r="N66" s="4" t="n">
        <f aca="false">ROUND((($B66*$AJ66)+($B66*$AK66))*$AL66,0)</f>
        <v>1</v>
      </c>
      <c r="O66" s="4" t="n">
        <f aca="false">INT($BO66*$B66)</f>
        <v>1</v>
      </c>
      <c r="P66" s="4" t="n">
        <f aca="false">INT($BP66*$B66)</f>
        <v>1</v>
      </c>
      <c r="Q66" s="4" t="n">
        <f aca="false">INT($BQ66*$B66*$AR66)</f>
        <v>0</v>
      </c>
      <c r="R66" s="4" t="n">
        <f aca="false">IF($R$1="WT/G",INT(POWER($BH66*$BJ66*$BI66,0.333333)),0)+IF($R$1="WT/A",INT(($BH66+$BJ66+$BI66)/3),0)+IF($R$1="WT/A2",INT(($BJ66+$BI66)/2),0)+IF($R$1="WT/W",INT(($BH66+$BJ66+$BJ66+$BI66)/4),0)+IF($R$1="WT/W2",INT(($BH66+$BJ66+$BI66+$BI66)/4),0)+IF($R$1="WT/N",INT(MIN($BH66,$BJ66,$BI66)),0)+IF($R$1="WT/M",INT(MAX($BH66,$BJ66,$BI66)),0)+IF($R$1="WT/1",INT($BH66),0)+IF($R$1="WT/2",INT($BI66),0)+IF($R$1="WT/3",INT($BJ66),0)</f>
        <v>10</v>
      </c>
      <c r="S66" s="4" t="n">
        <f aca="false">INT((10+$M66)*$BL66)</f>
        <v>12</v>
      </c>
      <c r="T66" s="4" t="n">
        <f aca="false">INT($I66*$BM66*$BF66)</f>
        <v>0</v>
      </c>
      <c r="U66" s="2" t="n">
        <f aca="false">ROUND(MAX($J66,$L66)+(MIN($J66,$L66)*$X66),0)</f>
        <v>2</v>
      </c>
      <c r="V66" s="2" t="n">
        <f aca="false">MAX(1,INT(((MIN($I66:$J66)+(MAX($I66:$J66)*$H66*$Y66)))*$Z66))</f>
        <v>1</v>
      </c>
      <c r="X66" s="5" t="n">
        <f aca="false">VLOOKUP($E66,Role!$A$2:$O$9,14,0)</f>
        <v>1</v>
      </c>
      <c r="Y66" s="5" t="n">
        <f aca="false">VLOOKUP($E66,Role!$A$2:$O$9,15,0)</f>
        <v>1</v>
      </c>
      <c r="Z66" s="5" t="n">
        <f aca="false">VLOOKUP($G66,Movement!$A$2:$C$7,3,0)</f>
        <v>1.5</v>
      </c>
      <c r="AB66" s="5" t="n">
        <f aca="false">INT(5+(($H66-1)/3))</f>
        <v>4</v>
      </c>
      <c r="AC66" s="5" t="n">
        <f aca="false">IF($AB66&lt;$I66,$I66-MAX($AB66,$B66),0)</f>
        <v>0</v>
      </c>
      <c r="AD66" s="5" t="n">
        <f aca="false">(5-ROUND(($H66-1)/3,0))</f>
        <v>5</v>
      </c>
      <c r="AE66" s="5" t="n">
        <f aca="false">IF($AD66&lt;$J66,$J66-MAX($AD66,$B66),0)</f>
        <v>0</v>
      </c>
      <c r="AG66" s="6" t="n">
        <f aca="false">VLOOKUP($F66,Category!$A$2:$AZ$20,24,0)</f>
        <v>0</v>
      </c>
      <c r="AH66" s="6" t="n">
        <f aca="false">VLOOKUP($F66,Category!$A$2:$AZ$20,26,0)</f>
        <v>0.333333333333333</v>
      </c>
      <c r="AI66" s="6" t="n">
        <f aca="false">VLOOKUP($E66,Role!$A$2:$O$9,6,0)</f>
        <v>0.666</v>
      </c>
      <c r="AJ66" s="6" t="n">
        <f aca="false">VLOOKUP($F66,Category!$A$2:$AZ$20,19,0)</f>
        <v>0.0909090909090909</v>
      </c>
      <c r="AK66" s="6" t="n">
        <f aca="false">VLOOKUP($F66,Category!$A$2:$AZ$20,21,0)</f>
        <v>0.545454545454545</v>
      </c>
      <c r="AL66" s="6" t="n">
        <f aca="false">VLOOKUP($E66,Role!$A$2:$O$9,7,0)</f>
        <v>0.666</v>
      </c>
      <c r="AM66" s="6" t="n">
        <f aca="false">VLOOKUP($F66,Category!$A$2:$AZ$20,19,0)</f>
        <v>0.0909090909090909</v>
      </c>
      <c r="AN66" s="6" t="n">
        <f aca="false">VLOOKUP($F66,Category!$A$2:$AZ$20,21,0)</f>
        <v>0.545454545454545</v>
      </c>
      <c r="AO66" s="6" t="n">
        <f aca="false">VLOOKUP($E66,Role!$A$2:$O$9,5,0)</f>
        <v>0.666</v>
      </c>
      <c r="AP66" s="6" t="n">
        <f aca="false">VLOOKUP($F66,Category!$A$2:$AZ$20,9,0)</f>
        <v>0</v>
      </c>
      <c r="AQ66" s="6" t="n">
        <f aca="false">VLOOKUP($F66,Category!$A$2:$AZ$20,11,0)</f>
        <v>0.555555555555556</v>
      </c>
      <c r="AR66" s="6" t="n">
        <f aca="false">VLOOKUP($F66,Category!$A$2:$AZ$20,10,0)</f>
        <v>0.555555555555556</v>
      </c>
      <c r="AS66" s="6" t="n">
        <f aca="false">VLOOKUP($E66,Role!$A$2:$O$9,4,0)</f>
        <v>0.666</v>
      </c>
      <c r="AT66" s="7" t="n">
        <f aca="false">VLOOKUP($F66,Category!$A$2:$AZ$20,14,0)</f>
        <v>0.416666666666667</v>
      </c>
      <c r="AU66" s="7" t="n">
        <f aca="false">VLOOKUP($F66,Category!$A$2:$AZ$20,16,0)</f>
        <v>0.25</v>
      </c>
      <c r="AV66" s="7" t="n">
        <f aca="false">VLOOKUP($D66,Size!$A$2:$Z$14,17,0)</f>
        <v>3</v>
      </c>
      <c r="AW66" s="7" t="n">
        <f aca="false">VLOOKUP($E66,Role!$A$2:$O$9,3,0)</f>
        <v>0.666</v>
      </c>
      <c r="AX66" s="7" t="n">
        <f aca="false">VLOOKUP($F66,Category!$A$2:$AZ$20,29,0)</f>
        <v>0.333333333333333</v>
      </c>
      <c r="AY66" s="7" t="n">
        <f aca="false">VLOOKUP($F66,Category!$A$2:$AZ$20,31,0)</f>
        <v>0.333333333333333</v>
      </c>
      <c r="AZ66" s="7" t="n">
        <f aca="false">VLOOKUP($D66,Size!$A$2:$Z$14,16,0)</f>
        <v>2</v>
      </c>
      <c r="BA66" s="7" t="n">
        <f aca="false">VLOOKUP($E66,Role!$A$2:$O$9,2,0)</f>
        <v>0.666</v>
      </c>
      <c r="BC66" s="7" t="n">
        <f aca="false">VLOOKUP($D66,Size!$A$2:$Z$14,19,0)</f>
        <v>9</v>
      </c>
      <c r="BD66" s="7" t="n">
        <f aca="false">VLOOKUP($D66,Size!$A$2:$Z$14,20,0)</f>
        <v>0.75</v>
      </c>
      <c r="BE66" s="7" t="n">
        <f aca="false">VLOOKUP($E66,Role!$A$2:$O$9,12,0)</f>
        <v>1.25</v>
      </c>
      <c r="BF66" s="7" t="n">
        <f aca="false">VLOOKUP($C66,Type!$A$2:$B$4,2,0)</f>
        <v>1</v>
      </c>
      <c r="BG66" s="7" t="n">
        <f aca="false">VLOOKUP($D66,Size!$A$2:$Z$14,18,0)</f>
        <v>10.0928271821888</v>
      </c>
      <c r="BH66" s="7" t="n">
        <f aca="false">INT($BF66*$BG66*$BE66*$B66/2)</f>
        <v>12</v>
      </c>
      <c r="BI66" s="7" t="n">
        <f aca="false">INT(($BC66*$BF66)+($I66*$BD66))</f>
        <v>9</v>
      </c>
      <c r="BJ66" s="7" t="n">
        <f aca="false">INT((($I66*$BE66)+$BC66)*$BF66)</f>
        <v>10</v>
      </c>
      <c r="BK66" s="14"/>
      <c r="BL66" s="7" t="n">
        <f aca="false">VLOOKUP($E66,Role!$A$2:$O$9,13,0)</f>
        <v>1.25</v>
      </c>
      <c r="BM66" s="7" t="n">
        <f aca="false">VLOOKUP($E66,Role!$A$2:$O$9,11,0)</f>
        <v>0.666</v>
      </c>
      <c r="BO66" s="7" t="n">
        <f aca="false">VLOOKUP($E66,Role!$A$2:$O$9,8,0)</f>
        <v>0.75</v>
      </c>
      <c r="BP66" s="7" t="n">
        <f aca="false">VLOOKUP($E66,Role!$A$2:$O$9,9,0)</f>
        <v>0.75</v>
      </c>
      <c r="BQ66" s="7" t="n">
        <f aca="false">VLOOKUP($E66,Role!$A$2:$O$9,10,0)</f>
        <v>0.5</v>
      </c>
    </row>
    <row r="67" customFormat="false" ht="12.8" hidden="false" customHeight="false" outlineLevel="0" collapsed="false">
      <c r="B67" s="2" t="n">
        <v>2</v>
      </c>
      <c r="C67" s="3" t="s">
        <v>63</v>
      </c>
      <c r="D67" s="1" t="s">
        <v>64</v>
      </c>
      <c r="E67" s="1" t="s">
        <v>70</v>
      </c>
      <c r="F67" s="1" t="s">
        <v>79</v>
      </c>
      <c r="G67" s="1" t="s">
        <v>80</v>
      </c>
      <c r="H67" s="4" t="n">
        <f aca="false">VLOOKUP($D67,Size!$A$2:$Z$14,6,0)</f>
        <v>1</v>
      </c>
      <c r="I67" s="13" t="n">
        <f aca="false">INT(($B67*$AZ67*$AX67*$BA67)+($B67*$AY67))</f>
        <v>1</v>
      </c>
      <c r="J67" s="4" t="n">
        <f aca="false">ROUND((($B67*$AT67)+($AV67*$AU67))*$AW67,0)</f>
        <v>1</v>
      </c>
      <c r="K67" s="4" t="n">
        <f aca="false">ROUND((($B67*$AP67)+($B67*$AQ67))*$AS67,0)</f>
        <v>1</v>
      </c>
      <c r="L67" s="4" t="n">
        <f aca="false">ROUND((($B67*$AM67)+($B67*$AN67))*$AO67,0)</f>
        <v>1</v>
      </c>
      <c r="M67" s="4" t="n">
        <f aca="false">ROUND((($B67*$AG67)+($B67*$AH67))*$AI67,0)</f>
        <v>0</v>
      </c>
      <c r="N67" s="4" t="n">
        <f aca="false">ROUND((($B67*$AJ67)+($B67*$AK67))*$AL67,0)</f>
        <v>1</v>
      </c>
      <c r="O67" s="4" t="n">
        <f aca="false">INT($BO67*$B67)</f>
        <v>1</v>
      </c>
      <c r="P67" s="4" t="n">
        <f aca="false">INT($BP67*$B67)</f>
        <v>1</v>
      </c>
      <c r="Q67" s="4" t="n">
        <f aca="false">INT($BQ67*$B67*$AR67)</f>
        <v>0</v>
      </c>
      <c r="R67" s="4" t="n">
        <f aca="false">IF($R$1="WT/G",INT(POWER($BH67*$BJ67*$BI67,0.333333)),0)+IF($R$1="WT/A",INT(($BH67+$BJ67+$BI67)/3),0)+IF($R$1="WT/A2",INT(($BJ67+$BI67)/2),0)+IF($R$1="WT/W",INT(($BH67+$BJ67+$BJ67+$BI67)/4),0)+IF($R$1="WT/W2",INT(($BH67+$BJ67+$BI67+$BI67)/4),0)+IF($R$1="WT/N",INT(MIN($BH67,$BJ67,$BI67)),0)+IF($R$1="WT/M",INT(MAX($BH67,$BJ67,$BI67)),0)+IF($R$1="WT/1",INT($BH67),0)+IF($R$1="WT/2",INT($BI67),0)+IF($R$1="WT/3",INT($BJ67),0)</f>
        <v>12</v>
      </c>
      <c r="S67" s="4" t="n">
        <f aca="false">INT((10+$M67)*$BL67)</f>
        <v>12</v>
      </c>
      <c r="T67" s="4" t="n">
        <f aca="false">INT($I67*$BM67*$BF67)</f>
        <v>0</v>
      </c>
      <c r="U67" s="2" t="n">
        <f aca="false">ROUND(MAX($J67,$L67)+(MIN($J67,$L67)*$X67),0)</f>
        <v>2</v>
      </c>
      <c r="V67" s="2" t="n">
        <f aca="false">MAX(1,INT(((MIN($I67:$J67)+(MAX($I67:$J67)*$H67*$Y67)))*$Z67))</f>
        <v>3</v>
      </c>
      <c r="X67" s="5" t="n">
        <f aca="false">VLOOKUP($E67,Role!$A$2:$O$9,14,0)</f>
        <v>1</v>
      </c>
      <c r="Y67" s="5" t="n">
        <f aca="false">VLOOKUP($E67,Role!$A$2:$O$9,15,0)</f>
        <v>1</v>
      </c>
      <c r="Z67" s="5" t="n">
        <f aca="false">VLOOKUP($G67,Movement!$A$2:$C$7,3,0)</f>
        <v>1.5</v>
      </c>
      <c r="AB67" s="5" t="n">
        <f aca="false">INT(5+(($H67-1)/3))</f>
        <v>5</v>
      </c>
      <c r="AC67" s="5" t="n">
        <f aca="false">IF($AB67&lt;$I67,$I67-MAX($AB67,$B67),0)</f>
        <v>0</v>
      </c>
      <c r="AD67" s="5" t="n">
        <f aca="false">(5-ROUND(($H67-1)/3,0))</f>
        <v>5</v>
      </c>
      <c r="AE67" s="5" t="n">
        <f aca="false">IF($AD67&lt;$J67,$J67-MAX($AD67,$B67),0)</f>
        <v>0</v>
      </c>
      <c r="AG67" s="6" t="n">
        <f aca="false">VLOOKUP($F67,Category!$A$2:$AZ$20,24,0)</f>
        <v>0</v>
      </c>
      <c r="AH67" s="6" t="n">
        <f aca="false">VLOOKUP($F67,Category!$A$2:$AZ$20,26,0)</f>
        <v>0.333333333333333</v>
      </c>
      <c r="AI67" s="6" t="n">
        <f aca="false">VLOOKUP($E67,Role!$A$2:$O$9,6,0)</f>
        <v>0.666</v>
      </c>
      <c r="AJ67" s="6" t="n">
        <f aca="false">VLOOKUP($F67,Category!$A$2:$AZ$20,19,0)</f>
        <v>0.0909090909090909</v>
      </c>
      <c r="AK67" s="6" t="n">
        <f aca="false">VLOOKUP($F67,Category!$A$2:$AZ$20,21,0)</f>
        <v>0.545454545454545</v>
      </c>
      <c r="AL67" s="6" t="n">
        <f aca="false">VLOOKUP($E67,Role!$A$2:$O$9,7,0)</f>
        <v>0.666</v>
      </c>
      <c r="AM67" s="6" t="n">
        <f aca="false">VLOOKUP($F67,Category!$A$2:$AZ$20,19,0)</f>
        <v>0.0909090909090909</v>
      </c>
      <c r="AN67" s="6" t="n">
        <f aca="false">VLOOKUP($F67,Category!$A$2:$AZ$20,21,0)</f>
        <v>0.545454545454545</v>
      </c>
      <c r="AO67" s="6" t="n">
        <f aca="false">VLOOKUP($E67,Role!$A$2:$O$9,5,0)</f>
        <v>0.666</v>
      </c>
      <c r="AP67" s="6" t="n">
        <f aca="false">VLOOKUP($F67,Category!$A$2:$AZ$20,9,0)</f>
        <v>0</v>
      </c>
      <c r="AQ67" s="6" t="n">
        <f aca="false">VLOOKUP($F67,Category!$A$2:$AZ$20,11,0)</f>
        <v>0.555555555555556</v>
      </c>
      <c r="AR67" s="6" t="n">
        <f aca="false">VLOOKUP($F67,Category!$A$2:$AZ$20,10,0)</f>
        <v>0.555555555555556</v>
      </c>
      <c r="AS67" s="6" t="n">
        <f aca="false">VLOOKUP($E67,Role!$A$2:$O$9,4,0)</f>
        <v>0.666</v>
      </c>
      <c r="AT67" s="7" t="n">
        <f aca="false">VLOOKUP($F67,Category!$A$2:$AZ$20,14,0)</f>
        <v>0.416666666666667</v>
      </c>
      <c r="AU67" s="7" t="n">
        <f aca="false">VLOOKUP($F67,Category!$A$2:$AZ$20,16,0)</f>
        <v>0.25</v>
      </c>
      <c r="AV67" s="7" t="n">
        <f aca="false">VLOOKUP($D67,Size!$A$2:$Z$14,17,0)</f>
        <v>3</v>
      </c>
      <c r="AW67" s="7" t="n">
        <f aca="false">VLOOKUP($E67,Role!$A$2:$O$9,3,0)</f>
        <v>0.666</v>
      </c>
      <c r="AX67" s="7" t="n">
        <f aca="false">VLOOKUP($F67,Category!$A$2:$AZ$20,29,0)</f>
        <v>0.333333333333333</v>
      </c>
      <c r="AY67" s="7" t="n">
        <f aca="false">VLOOKUP($F67,Category!$A$2:$AZ$20,31,0)</f>
        <v>0.333333333333333</v>
      </c>
      <c r="AZ67" s="7" t="n">
        <f aca="false">VLOOKUP($D67,Size!$A$2:$Z$14,16,0)</f>
        <v>3</v>
      </c>
      <c r="BA67" s="7" t="n">
        <f aca="false">VLOOKUP($E67,Role!$A$2:$O$9,2,0)</f>
        <v>0.666</v>
      </c>
      <c r="BC67" s="7" t="n">
        <f aca="false">VLOOKUP($D67,Size!$A$2:$Z$14,19,0)</f>
        <v>10</v>
      </c>
      <c r="BD67" s="7" t="n">
        <f aca="false">VLOOKUP($D67,Size!$A$2:$Z$14,20,0)</f>
        <v>1</v>
      </c>
      <c r="BE67" s="7" t="n">
        <f aca="false">VLOOKUP($E67,Role!$A$2:$O$9,12,0)</f>
        <v>1.25</v>
      </c>
      <c r="BF67" s="7" t="n">
        <f aca="false">VLOOKUP($C67,Type!$A$2:$B$4,2,0)</f>
        <v>1</v>
      </c>
      <c r="BG67" s="7" t="n">
        <f aca="false">VLOOKUP($D67,Size!$A$2:$Z$14,18,0)</f>
        <v>13</v>
      </c>
      <c r="BH67" s="7" t="n">
        <f aca="false">INT($BF67*$BG67*$BE67*$B67/2)</f>
        <v>16</v>
      </c>
      <c r="BI67" s="7" t="n">
        <f aca="false">INT(($BC67*$BF67)+($I67*$BD67))</f>
        <v>11</v>
      </c>
      <c r="BJ67" s="7" t="n">
        <f aca="false">INT((($I67*$BE67)+$BC67)*$BF67)</f>
        <v>11</v>
      </c>
      <c r="BK67" s="14"/>
      <c r="BL67" s="7" t="n">
        <f aca="false">VLOOKUP($E67,Role!$A$2:$O$9,13,0)</f>
        <v>1.25</v>
      </c>
      <c r="BM67" s="7" t="n">
        <f aca="false">VLOOKUP($E67,Role!$A$2:$O$9,11,0)</f>
        <v>0.666</v>
      </c>
      <c r="BO67" s="7" t="n">
        <f aca="false">VLOOKUP($E67,Role!$A$2:$O$9,8,0)</f>
        <v>0.75</v>
      </c>
      <c r="BP67" s="7" t="n">
        <f aca="false">VLOOKUP($E67,Role!$A$2:$O$9,9,0)</f>
        <v>0.75</v>
      </c>
      <c r="BQ67" s="7" t="n">
        <f aca="false">VLOOKUP($E67,Role!$A$2:$O$9,10,0)</f>
        <v>0.5</v>
      </c>
    </row>
    <row r="68" customFormat="false" ht="12.8" hidden="false" customHeight="false" outlineLevel="0" collapsed="false">
      <c r="B68" s="2" t="n">
        <v>2</v>
      </c>
      <c r="C68" s="3" t="s">
        <v>63</v>
      </c>
      <c r="D68" s="1" t="s">
        <v>84</v>
      </c>
      <c r="E68" s="1" t="s">
        <v>70</v>
      </c>
      <c r="F68" s="1" t="s">
        <v>79</v>
      </c>
      <c r="G68" s="1" t="s">
        <v>80</v>
      </c>
      <c r="H68" s="4" t="n">
        <f aca="false">VLOOKUP($D68,Size!$A$2:$Z$14,6,0)</f>
        <v>2</v>
      </c>
      <c r="I68" s="13" t="n">
        <f aca="false">INT(($B68*$AZ68*$AX68*$BA68)+($B68*$AY68))</f>
        <v>1</v>
      </c>
      <c r="J68" s="4" t="n">
        <f aca="false">ROUND((($B68*$AT68)+($AV68*$AU68))*$AW68,0)</f>
        <v>1</v>
      </c>
      <c r="K68" s="4" t="n">
        <f aca="false">ROUND((($B68*$AP68)+($B68*$AQ68))*$AS68,0)</f>
        <v>1</v>
      </c>
      <c r="L68" s="4" t="n">
        <f aca="false">ROUND((($B68*$AM68)+($B68*$AN68))*$AO68,0)</f>
        <v>1</v>
      </c>
      <c r="M68" s="4" t="n">
        <f aca="false">ROUND((($B68*$AG68)+($B68*$AH68))*$AI68,0)</f>
        <v>0</v>
      </c>
      <c r="N68" s="4" t="n">
        <f aca="false">ROUND((($B68*$AJ68)+($B68*$AK68))*$AL68,0)</f>
        <v>1</v>
      </c>
      <c r="O68" s="4" t="n">
        <f aca="false">INT($BO68*$B68)</f>
        <v>1</v>
      </c>
      <c r="P68" s="4" t="n">
        <f aca="false">INT($BP68*$B68)</f>
        <v>1</v>
      </c>
      <c r="Q68" s="4" t="n">
        <f aca="false">INT($BQ68*$B68*$AR68)</f>
        <v>0</v>
      </c>
      <c r="R68" s="4" t="n">
        <f aca="false">IF($R$1="WT/G",INT(POWER($BH68*$BJ68*$BI68,0.333333)),0)+IF($R$1="WT/A",INT(($BH68+$BJ68+$BI68)/3),0)+IF($R$1="WT/A2",INT(($BJ68+$BI68)/2),0)+IF($R$1="WT/W",INT(($BH68+$BJ68+$BJ68+$BI68)/4),0)+IF($R$1="WT/W2",INT(($BH68+$BJ68+$BI68+$BI68)/4),0)+IF($R$1="WT/N",INT(MIN($BH68,$BJ68,$BI68)),0)+IF($R$1="WT/M",INT(MAX($BH68,$BJ68,$BI68)),0)+IF($R$1="WT/1",INT($BH68),0)+IF($R$1="WT/2",INT($BI68),0)+IF($R$1="WT/3",INT($BJ68),0)</f>
        <v>14</v>
      </c>
      <c r="S68" s="4" t="n">
        <f aca="false">INT((10+$M68)*$BL68)</f>
        <v>12</v>
      </c>
      <c r="T68" s="4" t="n">
        <f aca="false">INT($I68*$BM68*$BF68)</f>
        <v>0</v>
      </c>
      <c r="U68" s="2" t="n">
        <f aca="false">ROUND(MAX($J68,$L68)+(MIN($J68,$L68)*$X68),0)</f>
        <v>2</v>
      </c>
      <c r="V68" s="2" t="n">
        <f aca="false">MAX(1,INT(((MIN($I68:$J68)+(MAX($I68:$J68)*$H68*$Y68)))*$Z68))</f>
        <v>4</v>
      </c>
      <c r="X68" s="5" t="n">
        <f aca="false">VLOOKUP($E68,Role!$A$2:$O$9,14,0)</f>
        <v>1</v>
      </c>
      <c r="Y68" s="5" t="n">
        <f aca="false">VLOOKUP($E68,Role!$A$2:$O$9,15,0)</f>
        <v>1</v>
      </c>
      <c r="Z68" s="5" t="n">
        <f aca="false">VLOOKUP($G68,Movement!$A$2:$C$7,3,0)</f>
        <v>1.5</v>
      </c>
      <c r="AB68" s="5" t="n">
        <f aca="false">INT(5+(($H68-1)/3))</f>
        <v>5</v>
      </c>
      <c r="AC68" s="5" t="n">
        <f aca="false">IF($AB68&lt;$I68,$I68-MAX($AB68,$B68),0)</f>
        <v>0</v>
      </c>
      <c r="AD68" s="5" t="n">
        <f aca="false">(5-ROUND(($H68-1)/3,0))</f>
        <v>5</v>
      </c>
      <c r="AE68" s="5" t="n">
        <f aca="false">IF($AD68&lt;$J68,$J68-MAX($AD68,$B68),0)</f>
        <v>0</v>
      </c>
      <c r="AG68" s="6" t="n">
        <f aca="false">VLOOKUP($F68,Category!$A$2:$AZ$20,24,0)</f>
        <v>0</v>
      </c>
      <c r="AH68" s="6" t="n">
        <f aca="false">VLOOKUP($F68,Category!$A$2:$AZ$20,26,0)</f>
        <v>0.333333333333333</v>
      </c>
      <c r="AI68" s="6" t="n">
        <f aca="false">VLOOKUP($E68,Role!$A$2:$O$9,6,0)</f>
        <v>0.666</v>
      </c>
      <c r="AJ68" s="6" t="n">
        <f aca="false">VLOOKUP($F68,Category!$A$2:$AZ$20,19,0)</f>
        <v>0.0909090909090909</v>
      </c>
      <c r="AK68" s="6" t="n">
        <f aca="false">VLOOKUP($F68,Category!$A$2:$AZ$20,21,0)</f>
        <v>0.545454545454545</v>
      </c>
      <c r="AL68" s="6" t="n">
        <f aca="false">VLOOKUP($E68,Role!$A$2:$O$9,7,0)</f>
        <v>0.666</v>
      </c>
      <c r="AM68" s="6" t="n">
        <f aca="false">VLOOKUP($F68,Category!$A$2:$AZ$20,19,0)</f>
        <v>0.0909090909090909</v>
      </c>
      <c r="AN68" s="6" t="n">
        <f aca="false">VLOOKUP($F68,Category!$A$2:$AZ$20,21,0)</f>
        <v>0.545454545454545</v>
      </c>
      <c r="AO68" s="6" t="n">
        <f aca="false">VLOOKUP($E68,Role!$A$2:$O$9,5,0)</f>
        <v>0.666</v>
      </c>
      <c r="AP68" s="6" t="n">
        <f aca="false">VLOOKUP($F68,Category!$A$2:$AZ$20,9,0)</f>
        <v>0</v>
      </c>
      <c r="AQ68" s="6" t="n">
        <f aca="false">VLOOKUP($F68,Category!$A$2:$AZ$20,11,0)</f>
        <v>0.555555555555556</v>
      </c>
      <c r="AR68" s="6" t="n">
        <f aca="false">VLOOKUP($F68,Category!$A$2:$AZ$20,10,0)</f>
        <v>0.555555555555556</v>
      </c>
      <c r="AS68" s="6" t="n">
        <f aca="false">VLOOKUP($E68,Role!$A$2:$O$9,4,0)</f>
        <v>0.666</v>
      </c>
      <c r="AT68" s="7" t="n">
        <f aca="false">VLOOKUP($F68,Category!$A$2:$AZ$20,14,0)</f>
        <v>0.416666666666667</v>
      </c>
      <c r="AU68" s="7" t="n">
        <f aca="false">VLOOKUP($F68,Category!$A$2:$AZ$20,16,0)</f>
        <v>0.25</v>
      </c>
      <c r="AV68" s="7" t="n">
        <f aca="false">VLOOKUP($D68,Size!$A$2:$Z$14,17,0)</f>
        <v>3</v>
      </c>
      <c r="AW68" s="7" t="n">
        <f aca="false">VLOOKUP($E68,Role!$A$2:$O$9,3,0)</f>
        <v>0.666</v>
      </c>
      <c r="AX68" s="7" t="n">
        <f aca="false">VLOOKUP($F68,Category!$A$2:$AZ$20,29,0)</f>
        <v>0.333333333333333</v>
      </c>
      <c r="AY68" s="7" t="n">
        <f aca="false">VLOOKUP($F68,Category!$A$2:$AZ$20,31,0)</f>
        <v>0.333333333333333</v>
      </c>
      <c r="AZ68" s="7" t="n">
        <f aca="false">VLOOKUP($D68,Size!$A$2:$Z$14,16,0)</f>
        <v>3</v>
      </c>
      <c r="BA68" s="7" t="n">
        <f aca="false">VLOOKUP($E68,Role!$A$2:$O$9,2,0)</f>
        <v>0.666</v>
      </c>
      <c r="BC68" s="7" t="n">
        <f aca="false">VLOOKUP($D68,Size!$A$2:$Z$14,19,0)</f>
        <v>12</v>
      </c>
      <c r="BD68" s="7" t="n">
        <f aca="false">VLOOKUP($D68,Size!$A$2:$Z$14,20,0)</f>
        <v>1.5</v>
      </c>
      <c r="BE68" s="7" t="n">
        <f aca="false">VLOOKUP($E68,Role!$A$2:$O$9,12,0)</f>
        <v>1.25</v>
      </c>
      <c r="BF68" s="7" t="n">
        <f aca="false">VLOOKUP($C68,Type!$A$2:$B$4,2,0)</f>
        <v>1</v>
      </c>
      <c r="BG68" s="7" t="n">
        <f aca="false">VLOOKUP($D68,Size!$A$2:$Z$14,18,0)</f>
        <v>16.2236679323423</v>
      </c>
      <c r="BH68" s="7" t="n">
        <f aca="false">INT($BF68*$BG68*$BE68*$B68/2)</f>
        <v>20</v>
      </c>
      <c r="BI68" s="7" t="n">
        <f aca="false">INT(($BC68*$BF68)+($I68*$BD68))</f>
        <v>13</v>
      </c>
      <c r="BJ68" s="7" t="n">
        <f aca="false">INT((($I68*$BE68)+$BC68)*$BF68)</f>
        <v>13</v>
      </c>
      <c r="BK68" s="14"/>
      <c r="BL68" s="7" t="n">
        <f aca="false">VLOOKUP($E68,Role!$A$2:$O$9,13,0)</f>
        <v>1.25</v>
      </c>
      <c r="BM68" s="7" t="n">
        <f aca="false">VLOOKUP($E68,Role!$A$2:$O$9,11,0)</f>
        <v>0.666</v>
      </c>
      <c r="BO68" s="7" t="n">
        <f aca="false">VLOOKUP($E68,Role!$A$2:$O$9,8,0)</f>
        <v>0.75</v>
      </c>
      <c r="BP68" s="7" t="n">
        <f aca="false">VLOOKUP($E68,Role!$A$2:$O$9,9,0)</f>
        <v>0.75</v>
      </c>
      <c r="BQ68" s="7" t="n">
        <f aca="false">VLOOKUP($E68,Role!$A$2:$O$9,10,0)</f>
        <v>0.5</v>
      </c>
    </row>
    <row r="69" customFormat="false" ht="12.8" hidden="false" customHeight="false" outlineLevel="0" collapsed="false">
      <c r="B69" s="2" t="n">
        <v>2</v>
      </c>
      <c r="C69" s="3" t="s">
        <v>63</v>
      </c>
      <c r="D69" s="1" t="s">
        <v>85</v>
      </c>
      <c r="E69" s="1" t="s">
        <v>70</v>
      </c>
      <c r="F69" s="1" t="s">
        <v>79</v>
      </c>
      <c r="G69" s="1" t="s">
        <v>80</v>
      </c>
      <c r="H69" s="4" t="n">
        <f aca="false">VLOOKUP($D69,Size!$A$2:$Z$14,6,0)</f>
        <v>3</v>
      </c>
      <c r="I69" s="13" t="n">
        <f aca="false">INT(($B69*$AZ69*$AX69*$BA69)+($B69*$AY69))</f>
        <v>2</v>
      </c>
      <c r="J69" s="4" t="n">
        <f aca="false">ROUND((($B69*$AT69)+($AV69*$AU69))*$AW69,0)</f>
        <v>1</v>
      </c>
      <c r="K69" s="4" t="n">
        <f aca="false">ROUND((($B69*$AP69)+($B69*$AQ69))*$AS69,0)</f>
        <v>1</v>
      </c>
      <c r="L69" s="4" t="n">
        <f aca="false">ROUND((($B69*$AM69)+($B69*$AN69))*$AO69,0)</f>
        <v>1</v>
      </c>
      <c r="M69" s="4" t="n">
        <f aca="false">ROUND((($B69*$AG69)+($B69*$AH69))*$AI69,0)</f>
        <v>0</v>
      </c>
      <c r="N69" s="4" t="n">
        <f aca="false">ROUND((($B69*$AJ69)+($B69*$AK69))*$AL69,0)</f>
        <v>1</v>
      </c>
      <c r="O69" s="4" t="n">
        <f aca="false">INT($BO69*$B69)</f>
        <v>1</v>
      </c>
      <c r="P69" s="4" t="n">
        <f aca="false">INT($BP69*$B69)</f>
        <v>1</v>
      </c>
      <c r="Q69" s="4" t="n">
        <f aca="false">INT($BQ69*$B69*$AR69)</f>
        <v>0</v>
      </c>
      <c r="R69" s="4" t="n">
        <f aca="false">IF($R$1="WT/G",INT(POWER($BH69*$BJ69*$BI69,0.333333)),0)+IF($R$1="WT/A",INT(($BH69+$BJ69+$BI69)/3),0)+IF($R$1="WT/A2",INT(($BJ69+$BI69)/2),0)+IF($R$1="WT/W",INT(($BH69+$BJ69+$BJ69+$BI69)/4),0)+IF($R$1="WT/W2",INT(($BH69+$BJ69+$BI69+$BI69)/4),0)+IF($R$1="WT/N",INT(MIN($BH69,$BJ69,$BI69)),0)+IF($R$1="WT/M",INT(MAX($BH69,$BJ69,$BI69)),0)+IF($R$1="WT/1",INT($BH69),0)+IF($R$1="WT/2",INT($BI69),0)+IF($R$1="WT/3",INT($BJ69),0)</f>
        <v>19</v>
      </c>
      <c r="S69" s="4" t="n">
        <f aca="false">INT((10+$M69)*$BL69)</f>
        <v>12</v>
      </c>
      <c r="T69" s="4" t="n">
        <f aca="false">INT($I69*$BM69*$BF69)</f>
        <v>1</v>
      </c>
      <c r="U69" s="2" t="n">
        <f aca="false">ROUND(MAX($J69,$L69)+(MIN($J69,$L69)*$X69),0)</f>
        <v>2</v>
      </c>
      <c r="V69" s="2" t="n">
        <f aca="false">MAX(1,INT(((MIN($I69:$J69)+(MAX($I69:$J69)*$H69*$Y69)))*$Z69))</f>
        <v>10</v>
      </c>
      <c r="X69" s="5" t="n">
        <f aca="false">VLOOKUP($E69,Role!$A$2:$O$9,14,0)</f>
        <v>1</v>
      </c>
      <c r="Y69" s="5" t="n">
        <f aca="false">VLOOKUP($E69,Role!$A$2:$O$9,15,0)</f>
        <v>1</v>
      </c>
      <c r="Z69" s="5" t="n">
        <f aca="false">VLOOKUP($G69,Movement!$A$2:$C$7,3,0)</f>
        <v>1.5</v>
      </c>
      <c r="AB69" s="5" t="n">
        <f aca="false">INT(5+(($H69-1)/3))</f>
        <v>5</v>
      </c>
      <c r="AC69" s="5" t="n">
        <f aca="false">IF($AB69&lt;$I69,$I69-MAX($AB69,$B69),0)</f>
        <v>0</v>
      </c>
      <c r="AD69" s="5" t="n">
        <f aca="false">(5-ROUND(($H69-1)/3,0))</f>
        <v>4</v>
      </c>
      <c r="AE69" s="5" t="n">
        <f aca="false">IF($AD69&lt;$J69,$J69-MAX($AD69,$B69),0)</f>
        <v>0</v>
      </c>
      <c r="AG69" s="6" t="n">
        <f aca="false">VLOOKUP($F69,Category!$A$2:$AZ$20,24,0)</f>
        <v>0</v>
      </c>
      <c r="AH69" s="6" t="n">
        <f aca="false">VLOOKUP($F69,Category!$A$2:$AZ$20,26,0)</f>
        <v>0.333333333333333</v>
      </c>
      <c r="AI69" s="6" t="n">
        <f aca="false">VLOOKUP($E69,Role!$A$2:$O$9,6,0)</f>
        <v>0.666</v>
      </c>
      <c r="AJ69" s="6" t="n">
        <f aca="false">VLOOKUP($F69,Category!$A$2:$AZ$20,19,0)</f>
        <v>0.0909090909090909</v>
      </c>
      <c r="AK69" s="6" t="n">
        <f aca="false">VLOOKUP($F69,Category!$A$2:$AZ$20,21,0)</f>
        <v>0.545454545454545</v>
      </c>
      <c r="AL69" s="6" t="n">
        <f aca="false">VLOOKUP($E69,Role!$A$2:$O$9,7,0)</f>
        <v>0.666</v>
      </c>
      <c r="AM69" s="6" t="n">
        <f aca="false">VLOOKUP($F69,Category!$A$2:$AZ$20,19,0)</f>
        <v>0.0909090909090909</v>
      </c>
      <c r="AN69" s="6" t="n">
        <f aca="false">VLOOKUP($F69,Category!$A$2:$AZ$20,21,0)</f>
        <v>0.545454545454545</v>
      </c>
      <c r="AO69" s="6" t="n">
        <f aca="false">VLOOKUP($E69,Role!$A$2:$O$9,5,0)</f>
        <v>0.666</v>
      </c>
      <c r="AP69" s="6" t="n">
        <f aca="false">VLOOKUP($F69,Category!$A$2:$AZ$20,9,0)</f>
        <v>0</v>
      </c>
      <c r="AQ69" s="6" t="n">
        <f aca="false">VLOOKUP($F69,Category!$A$2:$AZ$20,11,0)</f>
        <v>0.555555555555556</v>
      </c>
      <c r="AR69" s="6" t="n">
        <f aca="false">VLOOKUP($F69,Category!$A$2:$AZ$20,10,0)</f>
        <v>0.555555555555556</v>
      </c>
      <c r="AS69" s="6" t="n">
        <f aca="false">VLOOKUP($E69,Role!$A$2:$O$9,4,0)</f>
        <v>0.666</v>
      </c>
      <c r="AT69" s="7" t="n">
        <f aca="false">VLOOKUP($F69,Category!$A$2:$AZ$20,14,0)</f>
        <v>0.416666666666667</v>
      </c>
      <c r="AU69" s="7" t="n">
        <f aca="false">VLOOKUP($F69,Category!$A$2:$AZ$20,16,0)</f>
        <v>0.25</v>
      </c>
      <c r="AV69" s="7" t="n">
        <f aca="false">VLOOKUP($D69,Size!$A$2:$Z$14,17,0)</f>
        <v>2</v>
      </c>
      <c r="AW69" s="7" t="n">
        <f aca="false">VLOOKUP($E69,Role!$A$2:$O$9,3,0)</f>
        <v>0.666</v>
      </c>
      <c r="AX69" s="7" t="n">
        <f aca="false">VLOOKUP($F69,Category!$A$2:$AZ$20,29,0)</f>
        <v>0.333333333333333</v>
      </c>
      <c r="AY69" s="7" t="n">
        <f aca="false">VLOOKUP($F69,Category!$A$2:$AZ$20,31,0)</f>
        <v>0.333333333333333</v>
      </c>
      <c r="AZ69" s="7" t="n">
        <f aca="false">VLOOKUP($D69,Size!$A$2:$Z$14,16,0)</f>
        <v>4</v>
      </c>
      <c r="BA69" s="7" t="n">
        <f aca="false">VLOOKUP($E69,Role!$A$2:$O$9,2,0)</f>
        <v>0.666</v>
      </c>
      <c r="BC69" s="7" t="n">
        <f aca="false">VLOOKUP($D69,Size!$A$2:$Z$14,19,0)</f>
        <v>14</v>
      </c>
      <c r="BD69" s="7" t="n">
        <f aca="false">VLOOKUP($D69,Size!$A$2:$Z$14,20,0)</f>
        <v>2</v>
      </c>
      <c r="BE69" s="7" t="n">
        <f aca="false">VLOOKUP($E69,Role!$A$2:$O$9,12,0)</f>
        <v>1.25</v>
      </c>
      <c r="BF69" s="7" t="n">
        <f aca="false">VLOOKUP($C69,Type!$A$2:$B$4,2,0)</f>
        <v>1</v>
      </c>
      <c r="BG69" s="7" t="n">
        <f aca="false">VLOOKUP($D69,Size!$A$2:$Z$14,18,0)</f>
        <v>21.7830216372384</v>
      </c>
      <c r="BH69" s="7" t="n">
        <f aca="false">INT($BF69*$BG69*$BE69*$B69/2)</f>
        <v>27</v>
      </c>
      <c r="BI69" s="7" t="n">
        <f aca="false">INT(($BC69*$BF69)+($I69*$BD69))</f>
        <v>18</v>
      </c>
      <c r="BJ69" s="7" t="n">
        <f aca="false">INT((($I69*$BE69)+$BC69)*$BF69)</f>
        <v>16</v>
      </c>
      <c r="BK69" s="14"/>
      <c r="BL69" s="7" t="n">
        <f aca="false">VLOOKUP($E69,Role!$A$2:$O$9,13,0)</f>
        <v>1.25</v>
      </c>
      <c r="BM69" s="7" t="n">
        <f aca="false">VLOOKUP($E69,Role!$A$2:$O$9,11,0)</f>
        <v>0.666</v>
      </c>
      <c r="BO69" s="7" t="n">
        <f aca="false">VLOOKUP($E69,Role!$A$2:$O$9,8,0)</f>
        <v>0.75</v>
      </c>
      <c r="BP69" s="7" t="n">
        <f aca="false">VLOOKUP($E69,Role!$A$2:$O$9,9,0)</f>
        <v>0.75</v>
      </c>
      <c r="BQ69" s="7" t="n">
        <f aca="false">VLOOKUP($E69,Role!$A$2:$O$9,10,0)</f>
        <v>0.5</v>
      </c>
    </row>
    <row r="70" customFormat="false" ht="12.8" hidden="false" customHeight="false" outlineLevel="0" collapsed="false">
      <c r="B70" s="2" t="n">
        <v>2</v>
      </c>
      <c r="C70" s="3" t="s">
        <v>63</v>
      </c>
      <c r="D70" s="1" t="s">
        <v>86</v>
      </c>
      <c r="E70" s="1" t="s">
        <v>70</v>
      </c>
      <c r="F70" s="1" t="s">
        <v>79</v>
      </c>
      <c r="G70" s="1" t="s">
        <v>80</v>
      </c>
      <c r="H70" s="4" t="n">
        <f aca="false">VLOOKUP($D70,Size!$A$2:$Z$14,6,0)</f>
        <v>4</v>
      </c>
      <c r="I70" s="13" t="n">
        <f aca="false">INT(($B70*$AZ70*$AX70*$BA70)+($B70*$AY70))</f>
        <v>2</v>
      </c>
      <c r="J70" s="4" t="n">
        <f aca="false">ROUND((($B70*$AT70)+($AV70*$AU70))*$AW70,0)</f>
        <v>1</v>
      </c>
      <c r="K70" s="4" t="n">
        <f aca="false">ROUND((($B70*$AP70)+($B70*$AQ70))*$AS70,0)</f>
        <v>1</v>
      </c>
      <c r="L70" s="4" t="n">
        <f aca="false">ROUND((($B70*$AM70)+($B70*$AN70))*$AO70,0)</f>
        <v>1</v>
      </c>
      <c r="M70" s="4" t="n">
        <f aca="false">ROUND((($B70*$AG70)+($B70*$AH70))*$AI70,0)</f>
        <v>0</v>
      </c>
      <c r="N70" s="4" t="n">
        <f aca="false">ROUND((($B70*$AJ70)+($B70*$AK70))*$AL70,0)</f>
        <v>1</v>
      </c>
      <c r="O70" s="4" t="n">
        <f aca="false">INT($BO70*$B70)</f>
        <v>1</v>
      </c>
      <c r="P70" s="4" t="n">
        <f aca="false">INT($BP70*$B70)</f>
        <v>1</v>
      </c>
      <c r="Q70" s="4" t="n">
        <f aca="false">INT($BQ70*$B70*$AR70)</f>
        <v>0</v>
      </c>
      <c r="R70" s="4" t="n">
        <f aca="false">IF($R$1="WT/G",INT(POWER($BH70*$BJ70*$BI70,0.333333)),0)+IF($R$1="WT/A",INT(($BH70+$BJ70+$BI70)/3),0)+IF($R$1="WT/A2",INT(($BJ70+$BI70)/2),0)+IF($R$1="WT/W",INT(($BH70+$BJ70+$BJ70+$BI70)/4),0)+IF($R$1="WT/W2",INT(($BH70+$BJ70+$BI70+$BI70)/4),0)+IF($R$1="WT/N",INT(MIN($BH70,$BJ70,$BI70)),0)+IF($R$1="WT/M",INT(MAX($BH70,$BJ70,$BI70)),0)+IF($R$1="WT/1",INT($BH70),0)+IF($R$1="WT/2",INT($BI70),0)+IF($R$1="WT/3",INT($BJ70),0)</f>
        <v>23</v>
      </c>
      <c r="S70" s="4" t="n">
        <f aca="false">INT((10+$M70)*$BL70)</f>
        <v>12</v>
      </c>
      <c r="T70" s="4" t="n">
        <f aca="false">INT($I70*$BM70*$BF70)</f>
        <v>1</v>
      </c>
      <c r="U70" s="2" t="n">
        <f aca="false">ROUND(MAX($J70,$L70)+(MIN($J70,$L70)*$X70),0)</f>
        <v>2</v>
      </c>
      <c r="V70" s="2" t="n">
        <f aca="false">MAX(1,INT(((MIN($I70:$J70)+(MAX($I70:$J70)*$H70*$Y70)))*$Z70))</f>
        <v>13</v>
      </c>
      <c r="X70" s="5" t="n">
        <f aca="false">VLOOKUP($E70,Role!$A$2:$O$9,14,0)</f>
        <v>1</v>
      </c>
      <c r="Y70" s="5" t="n">
        <f aca="false">VLOOKUP($E70,Role!$A$2:$O$9,15,0)</f>
        <v>1</v>
      </c>
      <c r="Z70" s="5" t="n">
        <f aca="false">VLOOKUP($G70,Movement!$A$2:$C$7,3,0)</f>
        <v>1.5</v>
      </c>
      <c r="AB70" s="5" t="n">
        <f aca="false">INT(5+(($H70-1)/3))</f>
        <v>6</v>
      </c>
      <c r="AC70" s="5" t="n">
        <f aca="false">IF($AB70&lt;$I70,$I70-MAX($AB70,$B70),0)</f>
        <v>0</v>
      </c>
      <c r="AD70" s="5" t="n">
        <f aca="false">(5-ROUND(($H70-1)/3,0))</f>
        <v>4</v>
      </c>
      <c r="AE70" s="5" t="n">
        <f aca="false">IF($AD70&lt;$J70,$J70-MAX($AD70,$B70),0)</f>
        <v>0</v>
      </c>
      <c r="AG70" s="6" t="n">
        <f aca="false">VLOOKUP($F70,Category!$A$2:$AZ$20,24,0)</f>
        <v>0</v>
      </c>
      <c r="AH70" s="6" t="n">
        <f aca="false">VLOOKUP($F70,Category!$A$2:$AZ$20,26,0)</f>
        <v>0.333333333333333</v>
      </c>
      <c r="AI70" s="6" t="n">
        <f aca="false">VLOOKUP($E70,Role!$A$2:$O$9,6,0)</f>
        <v>0.666</v>
      </c>
      <c r="AJ70" s="6" t="n">
        <f aca="false">VLOOKUP($F70,Category!$A$2:$AZ$20,19,0)</f>
        <v>0.0909090909090909</v>
      </c>
      <c r="AK70" s="6" t="n">
        <f aca="false">VLOOKUP($F70,Category!$A$2:$AZ$20,21,0)</f>
        <v>0.545454545454545</v>
      </c>
      <c r="AL70" s="6" t="n">
        <f aca="false">VLOOKUP($E70,Role!$A$2:$O$9,7,0)</f>
        <v>0.666</v>
      </c>
      <c r="AM70" s="6" t="n">
        <f aca="false">VLOOKUP($F70,Category!$A$2:$AZ$20,19,0)</f>
        <v>0.0909090909090909</v>
      </c>
      <c r="AN70" s="6" t="n">
        <f aca="false">VLOOKUP($F70,Category!$A$2:$AZ$20,21,0)</f>
        <v>0.545454545454545</v>
      </c>
      <c r="AO70" s="6" t="n">
        <f aca="false">VLOOKUP($E70,Role!$A$2:$O$9,5,0)</f>
        <v>0.666</v>
      </c>
      <c r="AP70" s="6" t="n">
        <f aca="false">VLOOKUP($F70,Category!$A$2:$AZ$20,9,0)</f>
        <v>0</v>
      </c>
      <c r="AQ70" s="6" t="n">
        <f aca="false">VLOOKUP($F70,Category!$A$2:$AZ$20,11,0)</f>
        <v>0.555555555555556</v>
      </c>
      <c r="AR70" s="6" t="n">
        <f aca="false">VLOOKUP($F70,Category!$A$2:$AZ$20,10,0)</f>
        <v>0.555555555555556</v>
      </c>
      <c r="AS70" s="6" t="n">
        <f aca="false">VLOOKUP($E70,Role!$A$2:$O$9,4,0)</f>
        <v>0.666</v>
      </c>
      <c r="AT70" s="7" t="n">
        <f aca="false">VLOOKUP($F70,Category!$A$2:$AZ$20,14,0)</f>
        <v>0.416666666666667</v>
      </c>
      <c r="AU70" s="7" t="n">
        <f aca="false">VLOOKUP($F70,Category!$A$2:$AZ$20,16,0)</f>
        <v>0.25</v>
      </c>
      <c r="AV70" s="7" t="n">
        <f aca="false">VLOOKUP($D70,Size!$A$2:$Z$14,17,0)</f>
        <v>2</v>
      </c>
      <c r="AW70" s="7" t="n">
        <f aca="false">VLOOKUP($E70,Role!$A$2:$O$9,3,0)</f>
        <v>0.666</v>
      </c>
      <c r="AX70" s="7" t="n">
        <f aca="false">VLOOKUP($F70,Category!$A$2:$AZ$20,29,0)</f>
        <v>0.333333333333333</v>
      </c>
      <c r="AY70" s="7" t="n">
        <f aca="false">VLOOKUP($F70,Category!$A$2:$AZ$20,31,0)</f>
        <v>0.333333333333333</v>
      </c>
      <c r="AZ70" s="7" t="n">
        <f aca="false">VLOOKUP($D70,Size!$A$2:$Z$14,16,0)</f>
        <v>4</v>
      </c>
      <c r="BA70" s="7" t="n">
        <f aca="false">VLOOKUP($E70,Role!$A$2:$O$9,2,0)</f>
        <v>0.666</v>
      </c>
      <c r="BC70" s="7" t="n">
        <f aca="false">VLOOKUP($D70,Size!$A$2:$Z$14,19,0)</f>
        <v>16</v>
      </c>
      <c r="BD70" s="7" t="n">
        <f aca="false">VLOOKUP($D70,Size!$A$2:$Z$14,20,0)</f>
        <v>3</v>
      </c>
      <c r="BE70" s="7" t="n">
        <f aca="false">VLOOKUP($E70,Role!$A$2:$O$9,12,0)</f>
        <v>1.25</v>
      </c>
      <c r="BF70" s="7" t="n">
        <f aca="false">VLOOKUP($C70,Type!$A$2:$B$4,2,0)</f>
        <v>1</v>
      </c>
      <c r="BG70" s="7" t="n">
        <f aca="false">VLOOKUP($D70,Size!$A$2:$Z$14,18,0)</f>
        <v>25.3004131186338</v>
      </c>
      <c r="BH70" s="7" t="n">
        <f aca="false">INT($BF70*$BG70*$BE70*$B70/2)</f>
        <v>31</v>
      </c>
      <c r="BI70" s="7" t="n">
        <f aca="false">INT(($BC70*$BF70)+($I70*$BD70))</f>
        <v>22</v>
      </c>
      <c r="BJ70" s="7" t="n">
        <f aca="false">INT((($I70*$BE70)+$BC70)*$BF70)</f>
        <v>18</v>
      </c>
      <c r="BK70" s="14"/>
      <c r="BL70" s="7" t="n">
        <f aca="false">VLOOKUP($E70,Role!$A$2:$O$9,13,0)</f>
        <v>1.25</v>
      </c>
      <c r="BM70" s="7" t="n">
        <f aca="false">VLOOKUP($E70,Role!$A$2:$O$9,11,0)</f>
        <v>0.666</v>
      </c>
      <c r="BO70" s="7" t="n">
        <f aca="false">VLOOKUP($E70,Role!$A$2:$O$9,8,0)</f>
        <v>0.75</v>
      </c>
      <c r="BP70" s="7" t="n">
        <f aca="false">VLOOKUP($E70,Role!$A$2:$O$9,9,0)</f>
        <v>0.75</v>
      </c>
      <c r="BQ70" s="7" t="n">
        <f aca="false">VLOOKUP($E70,Role!$A$2:$O$9,10,0)</f>
        <v>0.5</v>
      </c>
    </row>
    <row r="71" customFormat="false" ht="12.8" hidden="false" customHeight="false" outlineLevel="0" collapsed="false">
      <c r="B71" s="2" t="n">
        <v>2</v>
      </c>
      <c r="C71" s="3" t="s">
        <v>63</v>
      </c>
      <c r="D71" s="1" t="s">
        <v>87</v>
      </c>
      <c r="E71" s="1" t="s">
        <v>70</v>
      </c>
      <c r="F71" s="1" t="s">
        <v>79</v>
      </c>
      <c r="G71" s="1" t="s">
        <v>80</v>
      </c>
      <c r="H71" s="4" t="n">
        <f aca="false">VLOOKUP($D71,Size!$A$2:$Z$14,6,0)</f>
        <v>5</v>
      </c>
      <c r="I71" s="13" t="n">
        <f aca="false">INT(($B71*$AZ71*$AX71*$BA71)+($B71*$AY71))</f>
        <v>2</v>
      </c>
      <c r="J71" s="4" t="n">
        <f aca="false">ROUND((($B71*$AT71)+($AV71*$AU71))*$AW71,0)</f>
        <v>1</v>
      </c>
      <c r="K71" s="4" t="n">
        <f aca="false">ROUND((($B71*$AP71)+($B71*$AQ71))*$AS71,0)</f>
        <v>1</v>
      </c>
      <c r="L71" s="4" t="n">
        <f aca="false">ROUND((($B71*$AM71)+($B71*$AN71))*$AO71,0)</f>
        <v>1</v>
      </c>
      <c r="M71" s="4" t="n">
        <f aca="false">ROUND((($B71*$AG71)+($B71*$AH71))*$AI71,0)</f>
        <v>0</v>
      </c>
      <c r="N71" s="4" t="n">
        <f aca="false">ROUND((($B71*$AJ71)+($B71*$AK71))*$AL71,0)</f>
        <v>1</v>
      </c>
      <c r="O71" s="4" t="n">
        <f aca="false">INT($BO71*$B71)</f>
        <v>1</v>
      </c>
      <c r="P71" s="4" t="n">
        <f aca="false">INT($BP71*$B71)</f>
        <v>1</v>
      </c>
      <c r="Q71" s="4" t="n">
        <f aca="false">INT($BQ71*$B71*$AR71)</f>
        <v>0</v>
      </c>
      <c r="R71" s="4" t="n">
        <f aca="false">IF($R$1="WT/G",INT(POWER($BH71*$BJ71*$BI71,0.333333)),0)+IF($R$1="WT/A",INT(($BH71+$BJ71+$BI71)/3),0)+IF($R$1="WT/A2",INT(($BJ71+$BI71)/2),0)+IF($R$1="WT/W",INT(($BH71+$BJ71+$BJ71+$BI71)/4),0)+IF($R$1="WT/W2",INT(($BH71+$BJ71+$BI71+$BI71)/4),0)+IF($R$1="WT/N",INT(MIN($BH71,$BJ71,$BI71)),0)+IF($R$1="WT/M",INT(MAX($BH71,$BJ71,$BI71)),0)+IF($R$1="WT/1",INT($BH71),0)+IF($R$1="WT/2",INT($BI71),0)+IF($R$1="WT/3",INT($BJ71),0)</f>
        <v>27</v>
      </c>
      <c r="S71" s="4" t="n">
        <f aca="false">INT((10+$M71)*$BL71)</f>
        <v>12</v>
      </c>
      <c r="T71" s="4" t="n">
        <f aca="false">INT($I71*$BM71*$BF71)</f>
        <v>1</v>
      </c>
      <c r="U71" s="2" t="n">
        <f aca="false">ROUND(MAX($J71,$L71)+(MIN($J71,$L71)*$X71),0)</f>
        <v>2</v>
      </c>
      <c r="V71" s="2" t="n">
        <f aca="false">MAX(1,INT(((MIN($I71:$J71)+(MAX($I71:$J71)*$H71*$Y71)))*$Z71))</f>
        <v>16</v>
      </c>
      <c r="X71" s="5" t="n">
        <f aca="false">VLOOKUP($E71,Role!$A$2:$O$9,14,0)</f>
        <v>1</v>
      </c>
      <c r="Y71" s="5" t="n">
        <f aca="false">VLOOKUP($E71,Role!$A$2:$O$9,15,0)</f>
        <v>1</v>
      </c>
      <c r="Z71" s="5" t="n">
        <f aca="false">VLOOKUP($G71,Movement!$A$2:$C$7,3,0)</f>
        <v>1.5</v>
      </c>
      <c r="AB71" s="5" t="n">
        <f aca="false">INT(5+(($H71-1)/3))</f>
        <v>6</v>
      </c>
      <c r="AC71" s="5" t="n">
        <f aca="false">IF($AB71&lt;$I71,$I71-MAX($AB71,$B71),0)</f>
        <v>0</v>
      </c>
      <c r="AD71" s="5" t="n">
        <f aca="false">(5-ROUND(($H71-1)/3,0))</f>
        <v>4</v>
      </c>
      <c r="AE71" s="5" t="n">
        <f aca="false">IF($AD71&lt;$J71,$J71-MAX($AD71,$B71),0)</f>
        <v>0</v>
      </c>
      <c r="AG71" s="6" t="n">
        <f aca="false">VLOOKUP($F71,Category!$A$2:$AZ$20,24,0)</f>
        <v>0</v>
      </c>
      <c r="AH71" s="6" t="n">
        <f aca="false">VLOOKUP($F71,Category!$A$2:$AZ$20,26,0)</f>
        <v>0.333333333333333</v>
      </c>
      <c r="AI71" s="6" t="n">
        <f aca="false">VLOOKUP($E71,Role!$A$2:$O$9,6,0)</f>
        <v>0.666</v>
      </c>
      <c r="AJ71" s="6" t="n">
        <f aca="false">VLOOKUP($F71,Category!$A$2:$AZ$20,19,0)</f>
        <v>0.0909090909090909</v>
      </c>
      <c r="AK71" s="6" t="n">
        <f aca="false">VLOOKUP($F71,Category!$A$2:$AZ$20,21,0)</f>
        <v>0.545454545454545</v>
      </c>
      <c r="AL71" s="6" t="n">
        <f aca="false">VLOOKUP($E71,Role!$A$2:$O$9,7,0)</f>
        <v>0.666</v>
      </c>
      <c r="AM71" s="6" t="n">
        <f aca="false">VLOOKUP($F71,Category!$A$2:$AZ$20,19,0)</f>
        <v>0.0909090909090909</v>
      </c>
      <c r="AN71" s="6" t="n">
        <f aca="false">VLOOKUP($F71,Category!$A$2:$AZ$20,21,0)</f>
        <v>0.545454545454545</v>
      </c>
      <c r="AO71" s="6" t="n">
        <f aca="false">VLOOKUP($E71,Role!$A$2:$O$9,5,0)</f>
        <v>0.666</v>
      </c>
      <c r="AP71" s="6" t="n">
        <f aca="false">VLOOKUP($F71,Category!$A$2:$AZ$20,9,0)</f>
        <v>0</v>
      </c>
      <c r="AQ71" s="6" t="n">
        <f aca="false">VLOOKUP($F71,Category!$A$2:$AZ$20,11,0)</f>
        <v>0.555555555555556</v>
      </c>
      <c r="AR71" s="6" t="n">
        <f aca="false">VLOOKUP($F71,Category!$A$2:$AZ$20,10,0)</f>
        <v>0.555555555555556</v>
      </c>
      <c r="AS71" s="6" t="n">
        <f aca="false">VLOOKUP($E71,Role!$A$2:$O$9,4,0)</f>
        <v>0.666</v>
      </c>
      <c r="AT71" s="7" t="n">
        <f aca="false">VLOOKUP($F71,Category!$A$2:$AZ$20,14,0)</f>
        <v>0.416666666666667</v>
      </c>
      <c r="AU71" s="7" t="n">
        <f aca="false">VLOOKUP($F71,Category!$A$2:$AZ$20,16,0)</f>
        <v>0.25</v>
      </c>
      <c r="AV71" s="7" t="n">
        <f aca="false">VLOOKUP($D71,Size!$A$2:$Z$14,17,0)</f>
        <v>2</v>
      </c>
      <c r="AW71" s="7" t="n">
        <f aca="false">VLOOKUP($E71,Role!$A$2:$O$9,3,0)</f>
        <v>0.666</v>
      </c>
      <c r="AX71" s="7" t="n">
        <f aca="false">VLOOKUP($F71,Category!$A$2:$AZ$20,29,0)</f>
        <v>0.333333333333333</v>
      </c>
      <c r="AY71" s="7" t="n">
        <f aca="false">VLOOKUP($F71,Category!$A$2:$AZ$20,31,0)</f>
        <v>0.333333333333333</v>
      </c>
      <c r="AZ71" s="7" t="n">
        <f aca="false">VLOOKUP($D71,Size!$A$2:$Z$14,16,0)</f>
        <v>5</v>
      </c>
      <c r="BA71" s="7" t="n">
        <f aca="false">VLOOKUP($E71,Role!$A$2:$O$9,2,0)</f>
        <v>0.666</v>
      </c>
      <c r="BC71" s="7" t="n">
        <f aca="false">VLOOKUP($D71,Size!$A$2:$Z$14,19,0)</f>
        <v>18</v>
      </c>
      <c r="BD71" s="7" t="n">
        <f aca="false">VLOOKUP($D71,Size!$A$2:$Z$14,20,0)</f>
        <v>4</v>
      </c>
      <c r="BE71" s="7" t="n">
        <f aca="false">VLOOKUP($E71,Role!$A$2:$O$9,12,0)</f>
        <v>1.25</v>
      </c>
      <c r="BF71" s="7" t="n">
        <f aca="false">VLOOKUP($C71,Type!$A$2:$B$4,2,0)</f>
        <v>1</v>
      </c>
      <c r="BG71" s="7" t="n">
        <f aca="false">VLOOKUP($D71,Size!$A$2:$Z$14,18,0)</f>
        <v>31.2018765062488</v>
      </c>
      <c r="BH71" s="7" t="n">
        <f aca="false">INT($BF71*$BG71*$BE71*$B71/2)</f>
        <v>39</v>
      </c>
      <c r="BI71" s="7" t="n">
        <f aca="false">INT(($BC71*$BF71)+($I71*$BD71))</f>
        <v>26</v>
      </c>
      <c r="BJ71" s="7" t="n">
        <f aca="false">INT((($I71*$BE71)+$BC71)*$BF71)</f>
        <v>20</v>
      </c>
      <c r="BK71" s="14"/>
      <c r="BL71" s="7" t="n">
        <f aca="false">VLOOKUP($E71,Role!$A$2:$O$9,13,0)</f>
        <v>1.25</v>
      </c>
      <c r="BM71" s="7" t="n">
        <f aca="false">VLOOKUP($E71,Role!$A$2:$O$9,11,0)</f>
        <v>0.666</v>
      </c>
      <c r="BO71" s="7" t="n">
        <f aca="false">VLOOKUP($E71,Role!$A$2:$O$9,8,0)</f>
        <v>0.75</v>
      </c>
      <c r="BP71" s="7" t="n">
        <f aca="false">VLOOKUP($E71,Role!$A$2:$O$9,9,0)</f>
        <v>0.75</v>
      </c>
      <c r="BQ71" s="7" t="n">
        <f aca="false">VLOOKUP($E71,Role!$A$2:$O$9,10,0)</f>
        <v>0.5</v>
      </c>
    </row>
    <row r="72" customFormat="false" ht="12.8" hidden="false" customHeight="false" outlineLevel="0" collapsed="false">
      <c r="B72" s="2" t="n">
        <v>2</v>
      </c>
      <c r="C72" s="3" t="s">
        <v>63</v>
      </c>
      <c r="D72" s="1" t="s">
        <v>88</v>
      </c>
      <c r="E72" s="1" t="s">
        <v>70</v>
      </c>
      <c r="F72" s="1" t="s">
        <v>79</v>
      </c>
      <c r="G72" s="1" t="s">
        <v>80</v>
      </c>
      <c r="H72" s="4" t="n">
        <f aca="false">VLOOKUP($D72,Size!$A$2:$Z$14,6,0)</f>
        <v>6</v>
      </c>
      <c r="I72" s="13" t="n">
        <f aca="false">INT(($B72*$AZ72*$AX72*$BA72)+($B72*$AY72))</f>
        <v>2</v>
      </c>
      <c r="J72" s="4" t="n">
        <f aca="false">ROUND((($B72*$AT72)+($AV72*$AU72))*$AW72,0)</f>
        <v>1</v>
      </c>
      <c r="K72" s="4" t="n">
        <f aca="false">ROUND((($B72*$AP72)+($B72*$AQ72))*$AS72,0)</f>
        <v>1</v>
      </c>
      <c r="L72" s="4" t="n">
        <f aca="false">ROUND((($B72*$AM72)+($B72*$AN72))*$AO72,0)</f>
        <v>1</v>
      </c>
      <c r="M72" s="4" t="n">
        <f aca="false">ROUND((($B72*$AG72)+($B72*$AH72))*$AI72,0)</f>
        <v>0</v>
      </c>
      <c r="N72" s="4" t="n">
        <f aca="false">ROUND((($B72*$AJ72)+($B72*$AK72))*$AL72,0)</f>
        <v>1</v>
      </c>
      <c r="O72" s="4" t="n">
        <f aca="false">INT($BO72*$B72)</f>
        <v>1</v>
      </c>
      <c r="P72" s="4" t="n">
        <f aca="false">INT($BP72*$B72)</f>
        <v>1</v>
      </c>
      <c r="Q72" s="4" t="n">
        <f aca="false">INT($BQ72*$B72*$AR72)</f>
        <v>0</v>
      </c>
      <c r="R72" s="4" t="n">
        <f aca="false">IF($R$1="WT/G",INT(POWER($BH72*$BJ72*$BI72,0.333333)),0)+IF($R$1="WT/A",INT(($BH72+$BJ72+$BI72)/3),0)+IF($R$1="WT/A2",INT(($BJ72+$BI72)/2),0)+IF($R$1="WT/W",INT(($BH72+$BJ72+$BJ72+$BI72)/4),0)+IF($R$1="WT/W2",INT(($BH72+$BJ72+$BI72+$BI72)/4),0)+IF($R$1="WT/N",INT(MIN($BH72,$BJ72,$BI72)),0)+IF($R$1="WT/M",INT(MAX($BH72,$BJ72,$BI72)),0)+IF($R$1="WT/1",INT($BH72),0)+IF($R$1="WT/2",INT($BI72),0)+IF($R$1="WT/3",INT($BJ72),0)</f>
        <v>32</v>
      </c>
      <c r="S72" s="4" t="n">
        <f aca="false">INT((10+$M72)*$BL72)</f>
        <v>12</v>
      </c>
      <c r="T72" s="4" t="n">
        <f aca="false">INT($I72*$BM72*$BF72)</f>
        <v>1</v>
      </c>
      <c r="U72" s="2" t="n">
        <f aca="false">ROUND(MAX($J72,$L72)+(MIN($J72,$L72)*$X72),0)</f>
        <v>2</v>
      </c>
      <c r="V72" s="2" t="n">
        <f aca="false">MAX(1,INT(((MIN($I72:$J72)+(MAX($I72:$J72)*$H72*$Y72)))*$Z72))</f>
        <v>19</v>
      </c>
      <c r="X72" s="5" t="n">
        <f aca="false">VLOOKUP($E72,Role!$A$2:$O$9,14,0)</f>
        <v>1</v>
      </c>
      <c r="Y72" s="5" t="n">
        <f aca="false">VLOOKUP($E72,Role!$A$2:$O$9,15,0)</f>
        <v>1</v>
      </c>
      <c r="Z72" s="5" t="n">
        <f aca="false">VLOOKUP($G72,Movement!$A$2:$C$7,3,0)</f>
        <v>1.5</v>
      </c>
      <c r="AB72" s="5" t="n">
        <f aca="false">INT(5+(($H72-1)/3))</f>
        <v>6</v>
      </c>
      <c r="AC72" s="5" t="n">
        <f aca="false">IF($AB72&lt;$I72,$I72-MAX($AB72,$B72),0)</f>
        <v>0</v>
      </c>
      <c r="AD72" s="5" t="n">
        <f aca="false">(5-ROUND(($H72-1)/3,0))</f>
        <v>3</v>
      </c>
      <c r="AE72" s="5" t="n">
        <f aca="false">IF($AD72&lt;$J72,$J72-MAX($AD72,$B72),0)</f>
        <v>0</v>
      </c>
      <c r="AG72" s="6" t="n">
        <f aca="false">VLOOKUP($F72,Category!$A$2:$AZ$20,24,0)</f>
        <v>0</v>
      </c>
      <c r="AH72" s="6" t="n">
        <f aca="false">VLOOKUP($F72,Category!$A$2:$AZ$20,26,0)</f>
        <v>0.333333333333333</v>
      </c>
      <c r="AI72" s="6" t="n">
        <f aca="false">VLOOKUP($E72,Role!$A$2:$O$9,6,0)</f>
        <v>0.666</v>
      </c>
      <c r="AJ72" s="6" t="n">
        <f aca="false">VLOOKUP($F72,Category!$A$2:$AZ$20,19,0)</f>
        <v>0.0909090909090909</v>
      </c>
      <c r="AK72" s="6" t="n">
        <f aca="false">VLOOKUP($F72,Category!$A$2:$AZ$20,21,0)</f>
        <v>0.545454545454545</v>
      </c>
      <c r="AL72" s="6" t="n">
        <f aca="false">VLOOKUP($E72,Role!$A$2:$O$9,7,0)</f>
        <v>0.666</v>
      </c>
      <c r="AM72" s="6" t="n">
        <f aca="false">VLOOKUP($F72,Category!$A$2:$AZ$20,19,0)</f>
        <v>0.0909090909090909</v>
      </c>
      <c r="AN72" s="6" t="n">
        <f aca="false">VLOOKUP($F72,Category!$A$2:$AZ$20,21,0)</f>
        <v>0.545454545454545</v>
      </c>
      <c r="AO72" s="6" t="n">
        <f aca="false">VLOOKUP($E72,Role!$A$2:$O$9,5,0)</f>
        <v>0.666</v>
      </c>
      <c r="AP72" s="6" t="n">
        <f aca="false">VLOOKUP($F72,Category!$A$2:$AZ$20,9,0)</f>
        <v>0</v>
      </c>
      <c r="AQ72" s="6" t="n">
        <f aca="false">VLOOKUP($F72,Category!$A$2:$AZ$20,11,0)</f>
        <v>0.555555555555556</v>
      </c>
      <c r="AR72" s="6" t="n">
        <f aca="false">VLOOKUP($F72,Category!$A$2:$AZ$20,10,0)</f>
        <v>0.555555555555556</v>
      </c>
      <c r="AS72" s="6" t="n">
        <f aca="false">VLOOKUP($E72,Role!$A$2:$O$9,4,0)</f>
        <v>0.666</v>
      </c>
      <c r="AT72" s="7" t="n">
        <f aca="false">VLOOKUP($F72,Category!$A$2:$AZ$20,14,0)</f>
        <v>0.416666666666667</v>
      </c>
      <c r="AU72" s="7" t="n">
        <f aca="false">VLOOKUP($F72,Category!$A$2:$AZ$20,16,0)</f>
        <v>0.25</v>
      </c>
      <c r="AV72" s="7" t="n">
        <f aca="false">VLOOKUP($D72,Size!$A$2:$Z$14,17,0)</f>
        <v>2</v>
      </c>
      <c r="AW72" s="7" t="n">
        <f aca="false">VLOOKUP($E72,Role!$A$2:$O$9,3,0)</f>
        <v>0.666</v>
      </c>
      <c r="AX72" s="7" t="n">
        <f aca="false">VLOOKUP($F72,Category!$A$2:$AZ$20,29,0)</f>
        <v>0.333333333333333</v>
      </c>
      <c r="AY72" s="7" t="n">
        <f aca="false">VLOOKUP($F72,Category!$A$2:$AZ$20,31,0)</f>
        <v>0.333333333333333</v>
      </c>
      <c r="AZ72" s="7" t="n">
        <f aca="false">VLOOKUP($D72,Size!$A$2:$Z$14,16,0)</f>
        <v>5</v>
      </c>
      <c r="BA72" s="7" t="n">
        <f aca="false">VLOOKUP($E72,Role!$A$2:$O$9,2,0)</f>
        <v>0.666</v>
      </c>
      <c r="BC72" s="7" t="n">
        <f aca="false">VLOOKUP($D72,Size!$A$2:$Z$14,19,0)</f>
        <v>20</v>
      </c>
      <c r="BD72" s="7" t="n">
        <f aca="false">VLOOKUP($D72,Size!$A$2:$Z$14,20,0)</f>
        <v>5</v>
      </c>
      <c r="BE72" s="7" t="n">
        <f aca="false">VLOOKUP($E72,Role!$A$2:$O$9,12,0)</f>
        <v>1.25</v>
      </c>
      <c r="BF72" s="7" t="n">
        <f aca="false">VLOOKUP($C72,Type!$A$2:$B$4,2,0)</f>
        <v>1</v>
      </c>
      <c r="BG72" s="7" t="n">
        <f aca="false">VLOOKUP($D72,Size!$A$2:$Z$14,18,0)</f>
        <v>38.7177346253629</v>
      </c>
      <c r="BH72" s="7" t="n">
        <f aca="false">INT($BF72*$BG72*$BE72*$B72/2)</f>
        <v>48</v>
      </c>
      <c r="BI72" s="7" t="n">
        <f aca="false">INT(($BC72*$BF72)+($I72*$BD72))</f>
        <v>30</v>
      </c>
      <c r="BJ72" s="7" t="n">
        <f aca="false">INT((($I72*$BE72)+$BC72)*$BF72)</f>
        <v>22</v>
      </c>
      <c r="BK72" s="14"/>
      <c r="BL72" s="7" t="n">
        <f aca="false">VLOOKUP($E72,Role!$A$2:$O$9,13,0)</f>
        <v>1.25</v>
      </c>
      <c r="BM72" s="7" t="n">
        <f aca="false">VLOOKUP($E72,Role!$A$2:$O$9,11,0)</f>
        <v>0.666</v>
      </c>
      <c r="BO72" s="7" t="n">
        <f aca="false">VLOOKUP($E72,Role!$A$2:$O$9,8,0)</f>
        <v>0.75</v>
      </c>
      <c r="BP72" s="7" t="n">
        <f aca="false">VLOOKUP($E72,Role!$A$2:$O$9,9,0)</f>
        <v>0.75</v>
      </c>
      <c r="BQ72" s="7" t="n">
        <f aca="false">VLOOKUP($E72,Role!$A$2:$O$9,10,0)</f>
        <v>0.5</v>
      </c>
    </row>
    <row r="73" customFormat="false" ht="12.8" hidden="false" customHeight="false" outlineLevel="0" collapsed="false">
      <c r="B73" s="2" t="n">
        <v>2</v>
      </c>
      <c r="C73" s="3" t="s">
        <v>63</v>
      </c>
      <c r="D73" s="1" t="s">
        <v>89</v>
      </c>
      <c r="E73" s="1" t="s">
        <v>70</v>
      </c>
      <c r="F73" s="1" t="s">
        <v>79</v>
      </c>
      <c r="G73" s="1" t="s">
        <v>80</v>
      </c>
      <c r="H73" s="4" t="n">
        <f aca="false">VLOOKUP($D73,Size!$A$2:$Z$14,6,0)</f>
        <v>7</v>
      </c>
      <c r="I73" s="13" t="n">
        <f aca="false">INT(($B73*$AZ73*$AX73*$BA73)+($B73*$AY73))</f>
        <v>2</v>
      </c>
      <c r="J73" s="4" t="n">
        <f aca="false">ROUND((($B73*$AT73)+($AV73*$AU73))*$AW73,0)</f>
        <v>1</v>
      </c>
      <c r="K73" s="4" t="n">
        <f aca="false">ROUND((($B73*$AP73)+($B73*$AQ73))*$AS73,0)</f>
        <v>1</v>
      </c>
      <c r="L73" s="4" t="n">
        <f aca="false">ROUND((($B73*$AM73)+($B73*$AN73))*$AO73,0)</f>
        <v>1</v>
      </c>
      <c r="M73" s="4" t="n">
        <f aca="false">ROUND((($B73*$AG73)+($B73*$AH73))*$AI73,0)</f>
        <v>0</v>
      </c>
      <c r="N73" s="4" t="n">
        <f aca="false">ROUND((($B73*$AJ73)+($B73*$AK73))*$AL73,0)</f>
        <v>1</v>
      </c>
      <c r="O73" s="4" t="n">
        <f aca="false">INT($BO73*$B73)</f>
        <v>1</v>
      </c>
      <c r="P73" s="4" t="n">
        <f aca="false">INT($BP73*$B73)</f>
        <v>1</v>
      </c>
      <c r="Q73" s="4" t="n">
        <f aca="false">INT($BQ73*$B73*$AR73)</f>
        <v>0</v>
      </c>
      <c r="R73" s="4" t="n">
        <f aca="false">IF($R$1="WT/G",INT(POWER($BH73*$BJ73*$BI73,0.333333)),0)+IF($R$1="WT/A",INT(($BH73+$BJ73+$BI73)/3),0)+IF($R$1="WT/A2",INT(($BJ73+$BI73)/2),0)+IF($R$1="WT/W",INT(($BH73+$BJ73+$BJ73+$BI73)/4),0)+IF($R$1="WT/W2",INT(($BH73+$BJ73+$BI73+$BI73)/4),0)+IF($R$1="WT/N",INT(MIN($BH73,$BJ73,$BI73)),0)+IF($R$1="WT/M",INT(MAX($BH73,$BJ73,$BI73)),0)+IF($R$1="WT/1",INT($BH73),0)+IF($R$1="WT/2",INT($BI73),0)+IF($R$1="WT/3",INT($BJ73),0)</f>
        <v>37</v>
      </c>
      <c r="S73" s="4" t="n">
        <f aca="false">INT((10+$M73)*$BL73)</f>
        <v>12</v>
      </c>
      <c r="T73" s="4" t="n">
        <f aca="false">INT($I73*$BM73*$BF73)</f>
        <v>1</v>
      </c>
      <c r="U73" s="2" t="n">
        <f aca="false">ROUND(MAX($J73,$L73)+(MIN($J73,$L73)*$X73),0)</f>
        <v>2</v>
      </c>
      <c r="V73" s="2" t="n">
        <f aca="false">MAX(1,INT(((MIN($I73:$J73)+(MAX($I73:$J73)*$H73*$Y73)))*$Z73))</f>
        <v>22</v>
      </c>
      <c r="X73" s="5" t="n">
        <f aca="false">VLOOKUP($E73,Role!$A$2:$O$9,14,0)</f>
        <v>1</v>
      </c>
      <c r="Y73" s="5" t="n">
        <f aca="false">VLOOKUP($E73,Role!$A$2:$O$9,15,0)</f>
        <v>1</v>
      </c>
      <c r="Z73" s="5" t="n">
        <f aca="false">VLOOKUP($G73,Movement!$A$2:$C$7,3,0)</f>
        <v>1.5</v>
      </c>
      <c r="AB73" s="5" t="n">
        <f aca="false">INT(5+(($H73-1)/3))</f>
        <v>7</v>
      </c>
      <c r="AC73" s="5" t="n">
        <f aca="false">IF($AB73&lt;$I73,$I73-MAX($AB73,$B73),0)</f>
        <v>0</v>
      </c>
      <c r="AD73" s="5" t="n">
        <f aca="false">(5-ROUND(($H73-1)/3,0))</f>
        <v>3</v>
      </c>
      <c r="AE73" s="5" t="n">
        <f aca="false">IF($AD73&lt;$J73,$J73-MAX($AD73,$B73),0)</f>
        <v>0</v>
      </c>
      <c r="AG73" s="6" t="n">
        <f aca="false">VLOOKUP($F73,Category!$A$2:$AZ$20,24,0)</f>
        <v>0</v>
      </c>
      <c r="AH73" s="6" t="n">
        <f aca="false">VLOOKUP($F73,Category!$A$2:$AZ$20,26,0)</f>
        <v>0.333333333333333</v>
      </c>
      <c r="AI73" s="6" t="n">
        <f aca="false">VLOOKUP($E73,Role!$A$2:$O$9,6,0)</f>
        <v>0.666</v>
      </c>
      <c r="AJ73" s="6" t="n">
        <f aca="false">VLOOKUP($F73,Category!$A$2:$AZ$20,19,0)</f>
        <v>0.0909090909090909</v>
      </c>
      <c r="AK73" s="6" t="n">
        <f aca="false">VLOOKUP($F73,Category!$A$2:$AZ$20,21,0)</f>
        <v>0.545454545454545</v>
      </c>
      <c r="AL73" s="6" t="n">
        <f aca="false">VLOOKUP($E73,Role!$A$2:$O$9,7,0)</f>
        <v>0.666</v>
      </c>
      <c r="AM73" s="6" t="n">
        <f aca="false">VLOOKUP($F73,Category!$A$2:$AZ$20,19,0)</f>
        <v>0.0909090909090909</v>
      </c>
      <c r="AN73" s="6" t="n">
        <f aca="false">VLOOKUP($F73,Category!$A$2:$AZ$20,21,0)</f>
        <v>0.545454545454545</v>
      </c>
      <c r="AO73" s="6" t="n">
        <f aca="false">VLOOKUP($E73,Role!$A$2:$O$9,5,0)</f>
        <v>0.666</v>
      </c>
      <c r="AP73" s="6" t="n">
        <f aca="false">VLOOKUP($F73,Category!$A$2:$AZ$20,9,0)</f>
        <v>0</v>
      </c>
      <c r="AQ73" s="6" t="n">
        <f aca="false">VLOOKUP($F73,Category!$A$2:$AZ$20,11,0)</f>
        <v>0.555555555555556</v>
      </c>
      <c r="AR73" s="6" t="n">
        <f aca="false">VLOOKUP($F73,Category!$A$2:$AZ$20,10,0)</f>
        <v>0.555555555555556</v>
      </c>
      <c r="AS73" s="6" t="n">
        <f aca="false">VLOOKUP($E73,Role!$A$2:$O$9,4,0)</f>
        <v>0.666</v>
      </c>
      <c r="AT73" s="7" t="n">
        <f aca="false">VLOOKUP($F73,Category!$A$2:$AZ$20,14,0)</f>
        <v>0.416666666666667</v>
      </c>
      <c r="AU73" s="7" t="n">
        <f aca="false">VLOOKUP($F73,Category!$A$2:$AZ$20,16,0)</f>
        <v>0.25</v>
      </c>
      <c r="AV73" s="7" t="n">
        <f aca="false">VLOOKUP($D73,Size!$A$2:$Z$14,17,0)</f>
        <v>2</v>
      </c>
      <c r="AW73" s="7" t="n">
        <f aca="false">VLOOKUP($E73,Role!$A$2:$O$9,3,0)</f>
        <v>0.666</v>
      </c>
      <c r="AX73" s="7" t="n">
        <f aca="false">VLOOKUP($F73,Category!$A$2:$AZ$20,29,0)</f>
        <v>0.333333333333333</v>
      </c>
      <c r="AY73" s="7" t="n">
        <f aca="false">VLOOKUP($F73,Category!$A$2:$AZ$20,31,0)</f>
        <v>0.333333333333333</v>
      </c>
      <c r="AZ73" s="7" t="n">
        <f aca="false">VLOOKUP($D73,Size!$A$2:$Z$14,16,0)</f>
        <v>5</v>
      </c>
      <c r="BA73" s="7" t="n">
        <f aca="false">VLOOKUP($E73,Role!$A$2:$O$9,2,0)</f>
        <v>0.666</v>
      </c>
      <c r="BC73" s="7" t="n">
        <f aca="false">VLOOKUP($D73,Size!$A$2:$Z$14,19,0)</f>
        <v>22</v>
      </c>
      <c r="BD73" s="7" t="n">
        <f aca="false">VLOOKUP($D73,Size!$A$2:$Z$14,20,0)</f>
        <v>6</v>
      </c>
      <c r="BE73" s="7" t="n">
        <f aca="false">VLOOKUP($E73,Role!$A$2:$O$9,12,0)</f>
        <v>1.25</v>
      </c>
      <c r="BF73" s="7" t="n">
        <f aca="false">VLOOKUP($C73,Type!$A$2:$B$4,2,0)</f>
        <v>1</v>
      </c>
      <c r="BG73" s="7" t="n">
        <f aca="false">VLOOKUP($D73,Size!$A$2:$Z$14,18,0)</f>
        <v>46.4833054890161</v>
      </c>
      <c r="BH73" s="7" t="n">
        <f aca="false">INT($BF73*$BG73*$BE73*$B73/2)</f>
        <v>58</v>
      </c>
      <c r="BI73" s="7" t="n">
        <f aca="false">INT(($BC73*$BF73)+($I73*$BD73))</f>
        <v>34</v>
      </c>
      <c r="BJ73" s="7" t="n">
        <f aca="false">INT((($I73*$BE73)+$BC73)*$BF73)</f>
        <v>24</v>
      </c>
      <c r="BK73" s="14"/>
      <c r="BL73" s="7" t="n">
        <f aca="false">VLOOKUP($E73,Role!$A$2:$O$9,13,0)</f>
        <v>1.25</v>
      </c>
      <c r="BM73" s="7" t="n">
        <f aca="false">VLOOKUP($E73,Role!$A$2:$O$9,11,0)</f>
        <v>0.666</v>
      </c>
      <c r="BO73" s="7" t="n">
        <f aca="false">VLOOKUP($E73,Role!$A$2:$O$9,8,0)</f>
        <v>0.75</v>
      </c>
      <c r="BP73" s="7" t="n">
        <f aca="false">VLOOKUP($E73,Role!$A$2:$O$9,9,0)</f>
        <v>0.75</v>
      </c>
      <c r="BQ73" s="7" t="n">
        <f aca="false">VLOOKUP($E73,Role!$A$2:$O$9,10,0)</f>
        <v>0.5</v>
      </c>
    </row>
    <row r="74" customFormat="false" ht="12.8" hidden="false" customHeight="false" outlineLevel="0" collapsed="false">
      <c r="C74" s="3" t="s">
        <v>63</v>
      </c>
      <c r="E74" s="1" t="s">
        <v>70</v>
      </c>
      <c r="H74" s="4" t="e">
        <f aca="false">VLOOKUP($D74,Size!$A$2:$Z$14,6,0)</f>
        <v>#N/A</v>
      </c>
      <c r="I74" s="13" t="e">
        <f aca="false">INT(($B74*$AZ74*$AX74*$BA74)+($B74*$AY74))</f>
        <v>#N/A</v>
      </c>
      <c r="J74" s="4" t="e">
        <f aca="false">ROUND((($B74*$AT74)+($AV74*$AU74))*$AW74,0)</f>
        <v>#N/A</v>
      </c>
      <c r="K74" s="4" t="e">
        <f aca="false">ROUND((($B74*$AP74)+($B74*$AQ74))*$AS74,0)</f>
        <v>#N/A</v>
      </c>
      <c r="L74" s="4" t="e">
        <f aca="false">ROUND((($B74*$AM74)+($B74*$AN74))*$AO74,0)</f>
        <v>#N/A</v>
      </c>
      <c r="M74" s="4" t="e">
        <f aca="false">ROUND((($B74*$AG74)+($B74*$AH74))*$AI74,0)</f>
        <v>#N/A</v>
      </c>
      <c r="N74" s="4" t="e">
        <f aca="false">ROUND((($B74*$AJ74)+($B74*$AK74))*$AL74,0)</f>
        <v>#N/A</v>
      </c>
      <c r="O74" s="4" t="n">
        <f aca="false">INT($BO74*$B74)</f>
        <v>0</v>
      </c>
      <c r="P74" s="4" t="n">
        <f aca="false">INT($BP74*$B74)</f>
        <v>0</v>
      </c>
      <c r="Q74" s="4" t="e">
        <f aca="false">INT($BQ74*$B74*$AR74)</f>
        <v>#N/A</v>
      </c>
      <c r="R74" s="4" t="e">
        <f aca="false">IF($R$1="WT/G",INT(POWER($BH74*$BJ74*$BI74,0.333333)),0)+IF($R$1="WT/A",INT(($BH74+$BJ74+$BI74)/3),0)+IF($R$1="WT/A2",INT(($BJ74+$BI74)/2),0)+IF($R$1="WT/W",INT(($BH74+$BJ74+$BJ74+$BI74)/4),0)+IF($R$1="WT/W2",INT(($BH74+$BJ74+$BI74+$BI74)/4),0)+IF($R$1="WT/N",INT(MIN($BH74,$BJ74,$BI74)),0)+IF($R$1="WT/M",INT(MAX($BH74,$BJ74,$BI74)),0)+IF($R$1="WT/1",INT($BH74),0)+IF($R$1="WT/2",INT($BI74),0)+IF($R$1="WT/3",INT($BJ74),0)</f>
        <v>#N/A</v>
      </c>
      <c r="S74" s="4" t="e">
        <f aca="false">INT((10+$M74)*$BL74)</f>
        <v>#N/A</v>
      </c>
      <c r="T74" s="4" t="e">
        <f aca="false">INT($I74*$BM74*$BF74)</f>
        <v>#N/A</v>
      </c>
      <c r="U74" s="2" t="e">
        <f aca="false">ROUND(MAX($J74,$L74)+(MIN($J74,$L74)*$X74),0)</f>
        <v>#N/A</v>
      </c>
      <c r="V74" s="2" t="e">
        <f aca="false">MAX(1,INT(((MIN($I74:$J74)+(MAX($I74:$J74)*$H74*$Y74)))*$Z74))</f>
        <v>#N/A</v>
      </c>
      <c r="X74" s="5" t="n">
        <f aca="false">VLOOKUP($E74,Role!$A$2:$O$9,14,0)</f>
        <v>1</v>
      </c>
      <c r="Y74" s="5" t="n">
        <f aca="false">VLOOKUP($E74,Role!$A$2:$O$9,15,0)</f>
        <v>1</v>
      </c>
      <c r="Z74" s="5" t="e">
        <f aca="false">VLOOKUP($G74,Movement!$A$2:$C$7,3,0)</f>
        <v>#N/A</v>
      </c>
      <c r="AB74" s="5" t="e">
        <f aca="false">INT(5+(($H74-1)/3))</f>
        <v>#N/A</v>
      </c>
      <c r="AC74" s="5" t="e">
        <f aca="false">IF($AB74&lt;$I74,$I74-MAX($AB74,$B74),0)</f>
        <v>#N/A</v>
      </c>
      <c r="AD74" s="5" t="e">
        <f aca="false">(5-ROUND(($H74-1)/3,0))</f>
        <v>#N/A</v>
      </c>
      <c r="AE74" s="5" t="e">
        <f aca="false">IF($AD74&lt;$J74,$J74-MAX($AD74,$B74),0)</f>
        <v>#N/A</v>
      </c>
      <c r="AG74" s="6" t="e">
        <f aca="false">VLOOKUP($F74,Category!$A$2:$AZ$20,24,0)</f>
        <v>#N/A</v>
      </c>
      <c r="AH74" s="6" t="e">
        <f aca="false">VLOOKUP($F74,Category!$A$2:$AZ$20,26,0)</f>
        <v>#N/A</v>
      </c>
      <c r="AI74" s="6" t="n">
        <f aca="false">VLOOKUP($E74,Role!$A$2:$O$9,6,0)</f>
        <v>0.666</v>
      </c>
      <c r="AJ74" s="6" t="e">
        <f aca="false">VLOOKUP($F74,Category!$A$2:$AZ$20,19,0)</f>
        <v>#N/A</v>
      </c>
      <c r="AK74" s="6" t="e">
        <f aca="false">VLOOKUP($F74,Category!$A$2:$AZ$20,21,0)</f>
        <v>#N/A</v>
      </c>
      <c r="AL74" s="6" t="n">
        <f aca="false">VLOOKUP($E74,Role!$A$2:$O$9,7,0)</f>
        <v>0.666</v>
      </c>
      <c r="AM74" s="6" t="e">
        <f aca="false">VLOOKUP($F74,Category!$A$2:$AZ$20,19,0)</f>
        <v>#N/A</v>
      </c>
      <c r="AN74" s="6" t="e">
        <f aca="false">VLOOKUP($F74,Category!$A$2:$AZ$20,21,0)</f>
        <v>#N/A</v>
      </c>
      <c r="AO74" s="6" t="n">
        <f aca="false">VLOOKUP($E74,Role!$A$2:$O$9,5,0)</f>
        <v>0.666</v>
      </c>
      <c r="AP74" s="6" t="e">
        <f aca="false">VLOOKUP($F74,Category!$A$2:$AZ$20,9,0)</f>
        <v>#N/A</v>
      </c>
      <c r="AQ74" s="6" t="e">
        <f aca="false">VLOOKUP($F74,Category!$A$2:$AZ$20,11,0)</f>
        <v>#N/A</v>
      </c>
      <c r="AR74" s="6" t="e">
        <f aca="false">VLOOKUP($F74,Category!$A$2:$AZ$20,10,0)</f>
        <v>#N/A</v>
      </c>
      <c r="AS74" s="6" t="n">
        <f aca="false">VLOOKUP($E74,Role!$A$2:$O$9,4,0)</f>
        <v>0.666</v>
      </c>
      <c r="AT74" s="7" t="e">
        <f aca="false">VLOOKUP($F74,Category!$A$2:$AZ$20,14,0)</f>
        <v>#N/A</v>
      </c>
      <c r="AU74" s="7" t="e">
        <f aca="false">VLOOKUP($F74,Category!$A$2:$AZ$20,16,0)</f>
        <v>#N/A</v>
      </c>
      <c r="AV74" s="7" t="e">
        <f aca="false">VLOOKUP($D74,Size!$A$2:$Z$14,17,0)</f>
        <v>#N/A</v>
      </c>
      <c r="AW74" s="7" t="n">
        <f aca="false">VLOOKUP($E74,Role!$A$2:$O$9,3,0)</f>
        <v>0.666</v>
      </c>
      <c r="AX74" s="7" t="e">
        <f aca="false">VLOOKUP($F74,Category!$A$2:$AZ$20,29,0)</f>
        <v>#N/A</v>
      </c>
      <c r="AY74" s="7" t="e">
        <f aca="false">VLOOKUP($F74,Category!$A$2:$AZ$20,31,0)</f>
        <v>#N/A</v>
      </c>
      <c r="AZ74" s="7" t="e">
        <f aca="false">VLOOKUP($D74,Size!$A$2:$Z$14,16,0)</f>
        <v>#N/A</v>
      </c>
      <c r="BA74" s="7" t="n">
        <f aca="false">VLOOKUP($E74,Role!$A$2:$O$9,2,0)</f>
        <v>0.666</v>
      </c>
      <c r="BC74" s="7" t="e">
        <f aca="false">VLOOKUP($D74,Size!$A$2:$Z$14,19,0)</f>
        <v>#N/A</v>
      </c>
      <c r="BD74" s="7" t="e">
        <f aca="false">VLOOKUP($D74,Size!$A$2:$Z$14,20,0)</f>
        <v>#N/A</v>
      </c>
      <c r="BE74" s="7" t="n">
        <f aca="false">VLOOKUP($E74,Role!$A$2:$O$9,12,0)</f>
        <v>1.25</v>
      </c>
      <c r="BF74" s="7" t="n">
        <f aca="false">VLOOKUP($C74,Type!$A$2:$B$4,2,0)</f>
        <v>1</v>
      </c>
      <c r="BG74" s="7" t="e">
        <f aca="false">VLOOKUP($D74,Size!$A$2:$Z$14,18,0)</f>
        <v>#N/A</v>
      </c>
      <c r="BH74" s="7" t="e">
        <f aca="false">INT($BF74*$BG74*$BE74*$B74/2)</f>
        <v>#N/A</v>
      </c>
      <c r="BI74" s="7" t="e">
        <f aca="false">INT(($BC74*$BF74)+($I74*$BD74))</f>
        <v>#N/A</v>
      </c>
      <c r="BJ74" s="7" t="e">
        <f aca="false">INT((($I74*$BE74)+$BC74)*$BF74)</f>
        <v>#N/A</v>
      </c>
      <c r="BK74" s="14"/>
      <c r="BL74" s="7" t="n">
        <f aca="false">VLOOKUP($E74,Role!$A$2:$O$9,13,0)</f>
        <v>1.25</v>
      </c>
      <c r="BM74" s="7" t="n">
        <f aca="false">VLOOKUP($E74,Role!$A$2:$O$9,11,0)</f>
        <v>0.666</v>
      </c>
      <c r="BO74" s="7" t="n">
        <f aca="false">VLOOKUP($E74,Role!$A$2:$O$9,8,0)</f>
        <v>0.75</v>
      </c>
      <c r="BP74" s="7" t="n">
        <f aca="false">VLOOKUP($E74,Role!$A$2:$O$9,9,0)</f>
        <v>0.75</v>
      </c>
      <c r="BQ74" s="7" t="n">
        <f aca="false">VLOOKUP($E74,Role!$A$2:$O$9,10,0)</f>
        <v>0.5</v>
      </c>
    </row>
    <row r="75" customFormat="false" ht="12.8" hidden="false" customHeight="false" outlineLevel="0" collapsed="false">
      <c r="B75" s="2" t="n">
        <v>3</v>
      </c>
      <c r="C75" s="3" t="s">
        <v>63</v>
      </c>
      <c r="D75" s="1" t="s">
        <v>78</v>
      </c>
      <c r="E75" s="1" t="s">
        <v>70</v>
      </c>
      <c r="F75" s="1" t="s">
        <v>79</v>
      </c>
      <c r="G75" s="1" t="s">
        <v>80</v>
      </c>
      <c r="H75" s="4" t="n">
        <f aca="false">VLOOKUP($D75,Size!$A$2:$Z$14,6,0)</f>
        <v>-3</v>
      </c>
      <c r="I75" s="13" t="n">
        <f aca="false">INT(($B75*$AZ75*$AX75*$BA75)+($B75*$AY75))</f>
        <v>1</v>
      </c>
      <c r="J75" s="4" t="n">
        <f aca="false">ROUND((($B75*$AT75)+($AV75*$AU75))*$AW75,0)</f>
        <v>1</v>
      </c>
      <c r="K75" s="4" t="n">
        <f aca="false">ROUND((($B75*$AP75)+($B75*$AQ75))*$AS75,0)</f>
        <v>1</v>
      </c>
      <c r="L75" s="4" t="n">
        <f aca="false">ROUND((($B75*$AM75)+($B75*$AN75))*$AO75,0)</f>
        <v>1</v>
      </c>
      <c r="M75" s="4" t="n">
        <f aca="false">ROUND((($B75*$AG75)+($B75*$AH75))*$AI75,0)</f>
        <v>1</v>
      </c>
      <c r="N75" s="4" t="n">
        <f aca="false">ROUND((($B75*$AJ75)+($B75*$AK75))*$AL75,0)</f>
        <v>1</v>
      </c>
      <c r="O75" s="4" t="n">
        <f aca="false">INT($BO75*$B75)</f>
        <v>2</v>
      </c>
      <c r="P75" s="4" t="n">
        <f aca="false">INT($BP75*$B75)</f>
        <v>2</v>
      </c>
      <c r="Q75" s="4" t="n">
        <f aca="false">INT($BQ75*$B75*$AR75)</f>
        <v>0</v>
      </c>
      <c r="R75" s="4" t="n">
        <f aca="false">IF($R$1="WT/G",INT(POWER($BH75*$BJ75*$BI75,0.333333)),0)+IF($R$1="WT/A",INT(($BH75+$BJ75+$BI75)/3),0)+IF($R$1="WT/A2",INT(($BJ75+$BI75)/2),0)+IF($R$1="WT/W",INT(($BH75+$BJ75+$BJ75+$BI75)/4),0)+IF($R$1="WT/W2",INT(($BH75+$BJ75+$BI75+$BI75)/4),0)+IF($R$1="WT/N",INT(MIN($BH75,$BJ75,$BI75)),0)+IF($R$1="WT/M",INT(MAX($BH75,$BJ75,$BI75)),0)+IF($R$1="WT/1",INT($BH75),0)+IF($R$1="WT/2",INT($BI75),0)+IF($R$1="WT/3",INT($BJ75),0)</f>
        <v>6</v>
      </c>
      <c r="S75" s="4" t="n">
        <f aca="false">INT((10+$M75)*$BL75)</f>
        <v>13</v>
      </c>
      <c r="T75" s="4" t="n">
        <f aca="false">INT($I75*$BM75*$BF75)</f>
        <v>0</v>
      </c>
      <c r="U75" s="2" t="n">
        <f aca="false">ROUND(MAX($J75,$L75)+(MIN($J75,$L75)*$X75),0)</f>
        <v>2</v>
      </c>
      <c r="V75" s="2" t="n">
        <f aca="false">MAX(1,INT(((MIN($I75:$J75)+(MAX($I75:$J75)*$H75*$Y75)))*$Z75))</f>
        <v>1</v>
      </c>
      <c r="X75" s="5" t="n">
        <f aca="false">VLOOKUP($E75,Role!$A$2:$O$9,14,0)</f>
        <v>1</v>
      </c>
      <c r="Y75" s="5" t="n">
        <f aca="false">VLOOKUP($E75,Role!$A$2:$O$9,15,0)</f>
        <v>1</v>
      </c>
      <c r="Z75" s="5" t="n">
        <f aca="false">VLOOKUP($G75,Movement!$A$2:$C$7,3,0)</f>
        <v>1.5</v>
      </c>
      <c r="AB75" s="5" t="n">
        <f aca="false">INT(5+(($H75-1)/3))</f>
        <v>3</v>
      </c>
      <c r="AC75" s="5" t="n">
        <f aca="false">IF($AB75&lt;$I75,$I75-MAX($AB75,$B75),0)</f>
        <v>0</v>
      </c>
      <c r="AD75" s="5" t="n">
        <f aca="false">(5-ROUND(($H75-1)/3,0))</f>
        <v>6</v>
      </c>
      <c r="AE75" s="5" t="n">
        <f aca="false">IF($AD75&lt;$J75,$J75-MAX($AD75,$B75),0)</f>
        <v>0</v>
      </c>
      <c r="AG75" s="6" t="n">
        <f aca="false">VLOOKUP($F75,Category!$A$2:$AZ$20,24,0)</f>
        <v>0</v>
      </c>
      <c r="AH75" s="6" t="n">
        <f aca="false">VLOOKUP($F75,Category!$A$2:$AZ$20,26,0)</f>
        <v>0.333333333333333</v>
      </c>
      <c r="AI75" s="6" t="n">
        <f aca="false">VLOOKUP($E75,Role!$A$2:$O$9,6,0)</f>
        <v>0.666</v>
      </c>
      <c r="AJ75" s="6" t="n">
        <f aca="false">VLOOKUP($F75,Category!$A$2:$AZ$20,19,0)</f>
        <v>0.0909090909090909</v>
      </c>
      <c r="AK75" s="6" t="n">
        <f aca="false">VLOOKUP($F75,Category!$A$2:$AZ$20,21,0)</f>
        <v>0.545454545454545</v>
      </c>
      <c r="AL75" s="6" t="n">
        <f aca="false">VLOOKUP($E75,Role!$A$2:$O$9,7,0)</f>
        <v>0.666</v>
      </c>
      <c r="AM75" s="6" t="n">
        <f aca="false">VLOOKUP($F75,Category!$A$2:$AZ$20,19,0)</f>
        <v>0.0909090909090909</v>
      </c>
      <c r="AN75" s="6" t="n">
        <f aca="false">VLOOKUP($F75,Category!$A$2:$AZ$20,21,0)</f>
        <v>0.545454545454545</v>
      </c>
      <c r="AO75" s="6" t="n">
        <f aca="false">VLOOKUP($E75,Role!$A$2:$O$9,5,0)</f>
        <v>0.666</v>
      </c>
      <c r="AP75" s="6" t="n">
        <f aca="false">VLOOKUP($F75,Category!$A$2:$AZ$20,9,0)</f>
        <v>0</v>
      </c>
      <c r="AQ75" s="6" t="n">
        <f aca="false">VLOOKUP($F75,Category!$A$2:$AZ$20,11,0)</f>
        <v>0.555555555555556</v>
      </c>
      <c r="AR75" s="6" t="n">
        <f aca="false">VLOOKUP($F75,Category!$A$2:$AZ$20,10,0)</f>
        <v>0.555555555555556</v>
      </c>
      <c r="AS75" s="6" t="n">
        <f aca="false">VLOOKUP($E75,Role!$A$2:$O$9,4,0)</f>
        <v>0.666</v>
      </c>
      <c r="AT75" s="7" t="n">
        <f aca="false">VLOOKUP($F75,Category!$A$2:$AZ$20,14,0)</f>
        <v>0.416666666666667</v>
      </c>
      <c r="AU75" s="7" t="n">
        <f aca="false">VLOOKUP($F75,Category!$A$2:$AZ$20,16,0)</f>
        <v>0.25</v>
      </c>
      <c r="AV75" s="7" t="n">
        <f aca="false">VLOOKUP($D75,Size!$A$2:$Z$14,17,0)</f>
        <v>4</v>
      </c>
      <c r="AW75" s="7" t="n">
        <f aca="false">VLOOKUP($E75,Role!$A$2:$O$9,3,0)</f>
        <v>0.666</v>
      </c>
      <c r="AX75" s="7" t="n">
        <f aca="false">VLOOKUP($F75,Category!$A$2:$AZ$20,29,0)</f>
        <v>0.333333333333333</v>
      </c>
      <c r="AY75" s="7" t="n">
        <f aca="false">VLOOKUP($F75,Category!$A$2:$AZ$20,31,0)</f>
        <v>0.333333333333333</v>
      </c>
      <c r="AZ75" s="7" t="n">
        <f aca="false">VLOOKUP($D75,Size!$A$2:$Z$14,16,0)</f>
        <v>1</v>
      </c>
      <c r="BA75" s="7" t="n">
        <f aca="false">VLOOKUP($E75,Role!$A$2:$O$9,2,0)</f>
        <v>0.666</v>
      </c>
      <c r="BC75" s="7" t="n">
        <f aca="false">VLOOKUP($D75,Size!$A$2:$Z$14,19,0)</f>
        <v>6</v>
      </c>
      <c r="BD75" s="7" t="n">
        <f aca="false">VLOOKUP($D75,Size!$A$2:$Z$14,20,0)</f>
        <v>0.33</v>
      </c>
      <c r="BE75" s="7" t="n">
        <f aca="false">VLOOKUP($E75,Role!$A$2:$O$9,12,0)</f>
        <v>1.25</v>
      </c>
      <c r="BF75" s="7" t="n">
        <f aca="false">VLOOKUP($C75,Type!$A$2:$B$4,2,0)</f>
        <v>1</v>
      </c>
      <c r="BG75" s="7" t="n">
        <f aca="false">VLOOKUP($D75,Size!$A$2:$Z$14,18,0)</f>
        <v>2.71683715631514</v>
      </c>
      <c r="BH75" s="7" t="n">
        <f aca="false">INT($BF75*$BG75*$BE75*$B75/2)</f>
        <v>5</v>
      </c>
      <c r="BI75" s="7" t="n">
        <f aca="false">INT(($BC75*$BF75)+($I75*$BD75))</f>
        <v>6</v>
      </c>
      <c r="BJ75" s="7" t="n">
        <f aca="false">INT((($I75*$BE75)+$BC75)*$BF75)</f>
        <v>7</v>
      </c>
      <c r="BK75" s="14"/>
      <c r="BL75" s="7" t="n">
        <f aca="false">VLOOKUP($E75,Role!$A$2:$O$9,13,0)</f>
        <v>1.25</v>
      </c>
      <c r="BM75" s="7" t="n">
        <f aca="false">VLOOKUP($E75,Role!$A$2:$O$9,11,0)</f>
        <v>0.666</v>
      </c>
      <c r="BO75" s="7" t="n">
        <f aca="false">VLOOKUP($E75,Role!$A$2:$O$9,8,0)</f>
        <v>0.75</v>
      </c>
      <c r="BP75" s="7" t="n">
        <f aca="false">VLOOKUP($E75,Role!$A$2:$O$9,9,0)</f>
        <v>0.75</v>
      </c>
      <c r="BQ75" s="7" t="n">
        <f aca="false">VLOOKUP($E75,Role!$A$2:$O$9,10,0)</f>
        <v>0.5</v>
      </c>
    </row>
    <row r="76" customFormat="false" ht="12.8" hidden="false" customHeight="false" outlineLevel="0" collapsed="false">
      <c r="B76" s="2" t="n">
        <v>3</v>
      </c>
      <c r="C76" s="3" t="s">
        <v>63</v>
      </c>
      <c r="D76" s="1" t="s">
        <v>81</v>
      </c>
      <c r="E76" s="1" t="s">
        <v>70</v>
      </c>
      <c r="F76" s="1" t="s">
        <v>79</v>
      </c>
      <c r="G76" s="1" t="s">
        <v>80</v>
      </c>
      <c r="H76" s="4" t="n">
        <f aca="false">VLOOKUP($D76,Size!$A$2:$Z$14,6,0)</f>
        <v>-2</v>
      </c>
      <c r="I76" s="13" t="n">
        <f aca="false">INT(($B76*$AZ76*$AX76*$BA76)+($B76*$AY76))</f>
        <v>2</v>
      </c>
      <c r="J76" s="4" t="n">
        <f aca="false">ROUND((($B76*$AT76)+($AV76*$AU76))*$AW76,0)</f>
        <v>1</v>
      </c>
      <c r="K76" s="4" t="n">
        <f aca="false">ROUND((($B76*$AP76)+($B76*$AQ76))*$AS76,0)</f>
        <v>1</v>
      </c>
      <c r="L76" s="4" t="n">
        <f aca="false">ROUND((($B76*$AM76)+($B76*$AN76))*$AO76,0)</f>
        <v>1</v>
      </c>
      <c r="M76" s="4" t="n">
        <f aca="false">ROUND((($B76*$AG76)+($B76*$AH76))*$AI76,0)</f>
        <v>1</v>
      </c>
      <c r="N76" s="4" t="n">
        <f aca="false">ROUND((($B76*$AJ76)+($B76*$AK76))*$AL76,0)</f>
        <v>1</v>
      </c>
      <c r="O76" s="4" t="n">
        <f aca="false">INT($BO76*$B76)</f>
        <v>2</v>
      </c>
      <c r="P76" s="4" t="n">
        <f aca="false">INT($BP76*$B76)</f>
        <v>2</v>
      </c>
      <c r="Q76" s="4" t="n">
        <f aca="false">INT($BQ76*$B76*$AR76)</f>
        <v>0</v>
      </c>
      <c r="R76" s="4" t="n">
        <f aca="false">IF($R$1="WT/G",INT(POWER($BH76*$BJ76*$BI76,0.333333)),0)+IF($R$1="WT/A",INT(($BH76+$BJ76+$BI76)/3),0)+IF($R$1="WT/A2",INT(($BJ76+$BI76)/2),0)+IF($R$1="WT/W",INT(($BH76+$BJ76+$BJ76+$BI76)/4),0)+IF($R$1="WT/W2",INT(($BH76+$BJ76+$BI76+$BI76)/4),0)+IF($R$1="WT/N",INT(MIN($BH76,$BJ76,$BI76)),0)+IF($R$1="WT/M",INT(MAX($BH76,$BJ76,$BI76)),0)+IF($R$1="WT/1",INT($BH76),0)+IF($R$1="WT/2",INT($BI76),0)+IF($R$1="WT/3",INT($BJ76),0)</f>
        <v>9</v>
      </c>
      <c r="S76" s="4" t="n">
        <f aca="false">INT((10+$M76)*$BL76)</f>
        <v>13</v>
      </c>
      <c r="T76" s="4" t="n">
        <f aca="false">INT($I76*$BM76*$BF76)</f>
        <v>1</v>
      </c>
      <c r="U76" s="2" t="n">
        <f aca="false">ROUND(MAX($J76,$L76)+(MIN($J76,$L76)*$X76),0)</f>
        <v>2</v>
      </c>
      <c r="V76" s="2" t="n">
        <f aca="false">MAX(1,INT(((MIN($I76:$J76)+(MAX($I76:$J76)*$H76*$Y76)))*$Z76))</f>
        <v>1</v>
      </c>
      <c r="X76" s="5" t="n">
        <f aca="false">VLOOKUP($E76,Role!$A$2:$O$9,14,0)</f>
        <v>1</v>
      </c>
      <c r="Y76" s="5" t="n">
        <f aca="false">VLOOKUP($E76,Role!$A$2:$O$9,15,0)</f>
        <v>1</v>
      </c>
      <c r="Z76" s="5" t="n">
        <f aca="false">VLOOKUP($G76,Movement!$A$2:$C$7,3,0)</f>
        <v>1.5</v>
      </c>
      <c r="AB76" s="5" t="n">
        <f aca="false">INT(5+(($H76-1)/3))</f>
        <v>4</v>
      </c>
      <c r="AC76" s="5" t="n">
        <f aca="false">IF($AB76&lt;$I76,$I76-MAX($AB76,$B76),0)</f>
        <v>0</v>
      </c>
      <c r="AD76" s="5" t="n">
        <f aca="false">(5-ROUND(($H76-1)/3,0))</f>
        <v>6</v>
      </c>
      <c r="AE76" s="5" t="n">
        <f aca="false">IF($AD76&lt;$J76,$J76-MAX($AD76,$B76),0)</f>
        <v>0</v>
      </c>
      <c r="AG76" s="6" t="n">
        <f aca="false">VLOOKUP($F76,Category!$A$2:$AZ$20,24,0)</f>
        <v>0</v>
      </c>
      <c r="AH76" s="6" t="n">
        <f aca="false">VLOOKUP($F76,Category!$A$2:$AZ$20,26,0)</f>
        <v>0.333333333333333</v>
      </c>
      <c r="AI76" s="6" t="n">
        <f aca="false">VLOOKUP($E76,Role!$A$2:$O$9,6,0)</f>
        <v>0.666</v>
      </c>
      <c r="AJ76" s="6" t="n">
        <f aca="false">VLOOKUP($F76,Category!$A$2:$AZ$20,19,0)</f>
        <v>0.0909090909090909</v>
      </c>
      <c r="AK76" s="6" t="n">
        <f aca="false">VLOOKUP($F76,Category!$A$2:$AZ$20,21,0)</f>
        <v>0.545454545454545</v>
      </c>
      <c r="AL76" s="6" t="n">
        <f aca="false">VLOOKUP($E76,Role!$A$2:$O$9,7,0)</f>
        <v>0.666</v>
      </c>
      <c r="AM76" s="6" t="n">
        <f aca="false">VLOOKUP($F76,Category!$A$2:$AZ$20,19,0)</f>
        <v>0.0909090909090909</v>
      </c>
      <c r="AN76" s="6" t="n">
        <f aca="false">VLOOKUP($F76,Category!$A$2:$AZ$20,21,0)</f>
        <v>0.545454545454545</v>
      </c>
      <c r="AO76" s="6" t="n">
        <f aca="false">VLOOKUP($E76,Role!$A$2:$O$9,5,0)</f>
        <v>0.666</v>
      </c>
      <c r="AP76" s="6" t="n">
        <f aca="false">VLOOKUP($F76,Category!$A$2:$AZ$20,9,0)</f>
        <v>0</v>
      </c>
      <c r="AQ76" s="6" t="n">
        <f aca="false">VLOOKUP($F76,Category!$A$2:$AZ$20,11,0)</f>
        <v>0.555555555555556</v>
      </c>
      <c r="AR76" s="6" t="n">
        <f aca="false">VLOOKUP($F76,Category!$A$2:$AZ$20,10,0)</f>
        <v>0.555555555555556</v>
      </c>
      <c r="AS76" s="6" t="n">
        <f aca="false">VLOOKUP($E76,Role!$A$2:$O$9,4,0)</f>
        <v>0.666</v>
      </c>
      <c r="AT76" s="7" t="n">
        <f aca="false">VLOOKUP($F76,Category!$A$2:$AZ$20,14,0)</f>
        <v>0.416666666666667</v>
      </c>
      <c r="AU76" s="7" t="n">
        <f aca="false">VLOOKUP($F76,Category!$A$2:$AZ$20,16,0)</f>
        <v>0.25</v>
      </c>
      <c r="AV76" s="7" t="n">
        <f aca="false">VLOOKUP($D76,Size!$A$2:$Z$14,17,0)</f>
        <v>3</v>
      </c>
      <c r="AW76" s="7" t="n">
        <f aca="false">VLOOKUP($E76,Role!$A$2:$O$9,3,0)</f>
        <v>0.666</v>
      </c>
      <c r="AX76" s="7" t="n">
        <f aca="false">VLOOKUP($F76,Category!$A$2:$AZ$20,29,0)</f>
        <v>0.333333333333333</v>
      </c>
      <c r="AY76" s="7" t="n">
        <f aca="false">VLOOKUP($F76,Category!$A$2:$AZ$20,31,0)</f>
        <v>0.333333333333333</v>
      </c>
      <c r="AZ76" s="7" t="n">
        <f aca="false">VLOOKUP($D76,Size!$A$2:$Z$14,16,0)</f>
        <v>2</v>
      </c>
      <c r="BA76" s="7" t="n">
        <f aca="false">VLOOKUP($E76,Role!$A$2:$O$9,2,0)</f>
        <v>0.666</v>
      </c>
      <c r="BC76" s="7" t="n">
        <f aca="false">VLOOKUP($D76,Size!$A$2:$Z$14,19,0)</f>
        <v>7</v>
      </c>
      <c r="BD76" s="7" t="n">
        <f aca="false">VLOOKUP($D76,Size!$A$2:$Z$14,20,0)</f>
        <v>0.5</v>
      </c>
      <c r="BE76" s="7" t="n">
        <f aca="false">VLOOKUP($E76,Role!$A$2:$O$9,12,0)</f>
        <v>1.25</v>
      </c>
      <c r="BF76" s="7" t="n">
        <f aca="false">VLOOKUP($C76,Type!$A$2:$B$4,2,0)</f>
        <v>1</v>
      </c>
      <c r="BG76" s="7" t="n">
        <f aca="false">VLOOKUP($D76,Size!$A$2:$Z$14,18,0)</f>
        <v>6.5643914849257</v>
      </c>
      <c r="BH76" s="7" t="n">
        <f aca="false">INT($BF76*$BG76*$BE76*$B76/2)</f>
        <v>12</v>
      </c>
      <c r="BI76" s="7" t="n">
        <f aca="false">INT(($BC76*$BF76)+($I76*$BD76))</f>
        <v>8</v>
      </c>
      <c r="BJ76" s="7" t="n">
        <f aca="false">INT((($I76*$BE76)+$BC76)*$BF76)</f>
        <v>9</v>
      </c>
      <c r="BK76" s="14"/>
      <c r="BL76" s="7" t="n">
        <f aca="false">VLOOKUP($E76,Role!$A$2:$O$9,13,0)</f>
        <v>1.25</v>
      </c>
      <c r="BM76" s="7" t="n">
        <f aca="false">VLOOKUP($E76,Role!$A$2:$O$9,11,0)</f>
        <v>0.666</v>
      </c>
      <c r="BO76" s="7" t="n">
        <f aca="false">VLOOKUP($E76,Role!$A$2:$O$9,8,0)</f>
        <v>0.75</v>
      </c>
      <c r="BP76" s="7" t="n">
        <f aca="false">VLOOKUP($E76,Role!$A$2:$O$9,9,0)</f>
        <v>0.75</v>
      </c>
      <c r="BQ76" s="7" t="n">
        <f aca="false">VLOOKUP($E76,Role!$A$2:$O$9,10,0)</f>
        <v>0.5</v>
      </c>
    </row>
    <row r="77" customFormat="false" ht="12.8" hidden="false" customHeight="false" outlineLevel="0" collapsed="false">
      <c r="B77" s="2" t="n">
        <v>3</v>
      </c>
      <c r="C77" s="3" t="s">
        <v>63</v>
      </c>
      <c r="D77" s="1" t="s">
        <v>82</v>
      </c>
      <c r="E77" s="1" t="s">
        <v>70</v>
      </c>
      <c r="F77" s="1" t="s">
        <v>79</v>
      </c>
      <c r="G77" s="1" t="s">
        <v>80</v>
      </c>
      <c r="H77" s="4" t="n">
        <f aca="false">VLOOKUP($D77,Size!$A$2:$Z$14,6,0)</f>
        <v>-1</v>
      </c>
      <c r="I77" s="13" t="n">
        <f aca="false">INT(($B77*$AZ77*$AX77*$BA77)+($B77*$AY77))</f>
        <v>2</v>
      </c>
      <c r="J77" s="4" t="n">
        <f aca="false">ROUND((($B77*$AT77)+($AV77*$AU77))*$AW77,0)</f>
        <v>1</v>
      </c>
      <c r="K77" s="4" t="n">
        <f aca="false">ROUND((($B77*$AP77)+($B77*$AQ77))*$AS77,0)</f>
        <v>1</v>
      </c>
      <c r="L77" s="4" t="n">
        <f aca="false">ROUND((($B77*$AM77)+($B77*$AN77))*$AO77,0)</f>
        <v>1</v>
      </c>
      <c r="M77" s="4" t="n">
        <f aca="false">ROUND((($B77*$AG77)+($B77*$AH77))*$AI77,0)</f>
        <v>1</v>
      </c>
      <c r="N77" s="4" t="n">
        <f aca="false">ROUND((($B77*$AJ77)+($B77*$AK77))*$AL77,0)</f>
        <v>1</v>
      </c>
      <c r="O77" s="4" t="n">
        <f aca="false">INT($BO77*$B77)</f>
        <v>2</v>
      </c>
      <c r="P77" s="4" t="n">
        <f aca="false">INT($BP77*$B77)</f>
        <v>2</v>
      </c>
      <c r="Q77" s="4" t="n">
        <f aca="false">INT($BQ77*$B77*$AR77)</f>
        <v>0</v>
      </c>
      <c r="R77" s="4" t="n">
        <f aca="false">IF($R$1="WT/G",INT(POWER($BH77*$BJ77*$BI77,0.333333)),0)+IF($R$1="WT/A",INT(($BH77+$BJ77+$BI77)/3),0)+IF($R$1="WT/A2",INT(($BJ77+$BI77)/2),0)+IF($R$1="WT/W",INT(($BH77+$BJ77+$BJ77+$BI77)/4),0)+IF($R$1="WT/W2",INT(($BH77+$BJ77+$BI77+$BI77)/4),0)+IF($R$1="WT/N",INT(MIN($BH77,$BJ77,$BI77)),0)+IF($R$1="WT/M",INT(MAX($BH77,$BJ77,$BI77)),0)+IF($R$1="WT/1",INT($BH77),0)+IF($R$1="WT/2",INT($BI77),0)+IF($R$1="WT/3",INT($BJ77),0)</f>
        <v>10</v>
      </c>
      <c r="S77" s="4" t="n">
        <f aca="false">INT((10+$M77)*$BL77)</f>
        <v>13</v>
      </c>
      <c r="T77" s="4" t="n">
        <f aca="false">INT($I77*$BM77*$BF77)</f>
        <v>1</v>
      </c>
      <c r="U77" s="2" t="n">
        <f aca="false">ROUND(MAX($J77,$L77)+(MIN($J77,$L77)*$X77),0)</f>
        <v>2</v>
      </c>
      <c r="V77" s="2" t="n">
        <f aca="false">MAX(1,INT(((MIN($I77:$J77)+(MAX($I77:$J77)*$H77*$Y77)))*$Z77))</f>
        <v>1</v>
      </c>
      <c r="X77" s="5" t="n">
        <f aca="false">VLOOKUP($E77,Role!$A$2:$O$9,14,0)</f>
        <v>1</v>
      </c>
      <c r="Y77" s="5" t="n">
        <f aca="false">VLOOKUP($E77,Role!$A$2:$O$9,15,0)</f>
        <v>1</v>
      </c>
      <c r="Z77" s="5" t="n">
        <f aca="false">VLOOKUP($G77,Movement!$A$2:$C$7,3,0)</f>
        <v>1.5</v>
      </c>
      <c r="AB77" s="5" t="n">
        <f aca="false">INT(5+(($H77-1)/3))</f>
        <v>4</v>
      </c>
      <c r="AC77" s="5" t="n">
        <f aca="false">IF($AB77&lt;$I77,$I77-MAX($AB77,$B77),0)</f>
        <v>0</v>
      </c>
      <c r="AD77" s="5" t="n">
        <f aca="false">(5-ROUND(($H77-1)/3,0))</f>
        <v>6</v>
      </c>
      <c r="AE77" s="5" t="n">
        <f aca="false">IF($AD77&lt;$J77,$J77-MAX($AD77,$B77),0)</f>
        <v>0</v>
      </c>
      <c r="AG77" s="6" t="n">
        <f aca="false">VLOOKUP($F77,Category!$A$2:$AZ$20,24,0)</f>
        <v>0</v>
      </c>
      <c r="AH77" s="6" t="n">
        <f aca="false">VLOOKUP($F77,Category!$A$2:$AZ$20,26,0)</f>
        <v>0.333333333333333</v>
      </c>
      <c r="AI77" s="6" t="n">
        <f aca="false">VLOOKUP($E77,Role!$A$2:$O$9,6,0)</f>
        <v>0.666</v>
      </c>
      <c r="AJ77" s="6" t="n">
        <f aca="false">VLOOKUP($F77,Category!$A$2:$AZ$20,19,0)</f>
        <v>0.0909090909090909</v>
      </c>
      <c r="AK77" s="6" t="n">
        <f aca="false">VLOOKUP($F77,Category!$A$2:$AZ$20,21,0)</f>
        <v>0.545454545454545</v>
      </c>
      <c r="AL77" s="6" t="n">
        <f aca="false">VLOOKUP($E77,Role!$A$2:$O$9,7,0)</f>
        <v>0.666</v>
      </c>
      <c r="AM77" s="6" t="n">
        <f aca="false">VLOOKUP($F77,Category!$A$2:$AZ$20,19,0)</f>
        <v>0.0909090909090909</v>
      </c>
      <c r="AN77" s="6" t="n">
        <f aca="false">VLOOKUP($F77,Category!$A$2:$AZ$20,21,0)</f>
        <v>0.545454545454545</v>
      </c>
      <c r="AO77" s="6" t="n">
        <f aca="false">VLOOKUP($E77,Role!$A$2:$O$9,5,0)</f>
        <v>0.666</v>
      </c>
      <c r="AP77" s="6" t="n">
        <f aca="false">VLOOKUP($F77,Category!$A$2:$AZ$20,9,0)</f>
        <v>0</v>
      </c>
      <c r="AQ77" s="6" t="n">
        <f aca="false">VLOOKUP($F77,Category!$A$2:$AZ$20,11,0)</f>
        <v>0.555555555555556</v>
      </c>
      <c r="AR77" s="6" t="n">
        <f aca="false">VLOOKUP($F77,Category!$A$2:$AZ$20,10,0)</f>
        <v>0.555555555555556</v>
      </c>
      <c r="AS77" s="6" t="n">
        <f aca="false">VLOOKUP($E77,Role!$A$2:$O$9,4,0)</f>
        <v>0.666</v>
      </c>
      <c r="AT77" s="7" t="n">
        <f aca="false">VLOOKUP($F77,Category!$A$2:$AZ$20,14,0)</f>
        <v>0.416666666666667</v>
      </c>
      <c r="AU77" s="7" t="n">
        <f aca="false">VLOOKUP($F77,Category!$A$2:$AZ$20,16,0)</f>
        <v>0.25</v>
      </c>
      <c r="AV77" s="7" t="n">
        <f aca="false">VLOOKUP($D77,Size!$A$2:$Z$14,17,0)</f>
        <v>3</v>
      </c>
      <c r="AW77" s="7" t="n">
        <f aca="false">VLOOKUP($E77,Role!$A$2:$O$9,3,0)</f>
        <v>0.666</v>
      </c>
      <c r="AX77" s="7" t="n">
        <f aca="false">VLOOKUP($F77,Category!$A$2:$AZ$20,29,0)</f>
        <v>0.333333333333333</v>
      </c>
      <c r="AY77" s="7" t="n">
        <f aca="false">VLOOKUP($F77,Category!$A$2:$AZ$20,31,0)</f>
        <v>0.333333333333333</v>
      </c>
      <c r="AZ77" s="7" t="n">
        <f aca="false">VLOOKUP($D77,Size!$A$2:$Z$14,16,0)</f>
        <v>2</v>
      </c>
      <c r="BA77" s="7" t="n">
        <f aca="false">VLOOKUP($E77,Role!$A$2:$O$9,2,0)</f>
        <v>0.666</v>
      </c>
      <c r="BC77" s="7" t="n">
        <f aca="false">VLOOKUP($D77,Size!$A$2:$Z$14,19,0)</f>
        <v>8</v>
      </c>
      <c r="BD77" s="7" t="n">
        <f aca="false">VLOOKUP($D77,Size!$A$2:$Z$14,20,0)</f>
        <v>0.66</v>
      </c>
      <c r="BE77" s="7" t="n">
        <f aca="false">VLOOKUP($E77,Role!$A$2:$O$9,12,0)</f>
        <v>1.25</v>
      </c>
      <c r="BF77" s="7" t="n">
        <f aca="false">VLOOKUP($C77,Type!$A$2:$B$4,2,0)</f>
        <v>1</v>
      </c>
      <c r="BG77" s="7" t="n">
        <f aca="false">VLOOKUP($D77,Size!$A$2:$Z$14,18,0)</f>
        <v>8.28567304322775</v>
      </c>
      <c r="BH77" s="7" t="n">
        <f aca="false">INT($BF77*$BG77*$BE77*$B77/2)</f>
        <v>15</v>
      </c>
      <c r="BI77" s="7" t="n">
        <f aca="false">INT(($BC77*$BF77)+($I77*$BD77))</f>
        <v>9</v>
      </c>
      <c r="BJ77" s="7" t="n">
        <f aca="false">INT((($I77*$BE77)+$BC77)*$BF77)</f>
        <v>10</v>
      </c>
      <c r="BK77" s="14"/>
      <c r="BL77" s="7" t="n">
        <f aca="false">VLOOKUP($E77,Role!$A$2:$O$9,13,0)</f>
        <v>1.25</v>
      </c>
      <c r="BM77" s="7" t="n">
        <f aca="false">VLOOKUP($E77,Role!$A$2:$O$9,11,0)</f>
        <v>0.666</v>
      </c>
      <c r="BO77" s="7" t="n">
        <f aca="false">VLOOKUP($E77,Role!$A$2:$O$9,8,0)</f>
        <v>0.75</v>
      </c>
      <c r="BP77" s="7" t="n">
        <f aca="false">VLOOKUP($E77,Role!$A$2:$O$9,9,0)</f>
        <v>0.75</v>
      </c>
      <c r="BQ77" s="7" t="n">
        <f aca="false">VLOOKUP($E77,Role!$A$2:$O$9,10,0)</f>
        <v>0.5</v>
      </c>
    </row>
    <row r="78" customFormat="false" ht="12.8" hidden="false" customHeight="false" outlineLevel="0" collapsed="false">
      <c r="B78" s="2" t="n">
        <v>3</v>
      </c>
      <c r="C78" s="3" t="s">
        <v>63</v>
      </c>
      <c r="D78" s="1" t="s">
        <v>83</v>
      </c>
      <c r="E78" s="1" t="s">
        <v>70</v>
      </c>
      <c r="F78" s="1" t="s">
        <v>79</v>
      </c>
      <c r="G78" s="1" t="s">
        <v>80</v>
      </c>
      <c r="H78" s="4" t="n">
        <f aca="false">VLOOKUP($D78,Size!$A$2:$Z$14,6,0)</f>
        <v>0</v>
      </c>
      <c r="I78" s="13" t="n">
        <f aca="false">INT(($B78*$AZ78*$AX78*$BA78)+($B78*$AY78))</f>
        <v>2</v>
      </c>
      <c r="J78" s="4" t="n">
        <f aca="false">ROUND((($B78*$AT78)+($AV78*$AU78))*$AW78,0)</f>
        <v>1</v>
      </c>
      <c r="K78" s="4" t="n">
        <f aca="false">ROUND((($B78*$AP78)+($B78*$AQ78))*$AS78,0)</f>
        <v>1</v>
      </c>
      <c r="L78" s="4" t="n">
        <f aca="false">ROUND((($B78*$AM78)+($B78*$AN78))*$AO78,0)</f>
        <v>1</v>
      </c>
      <c r="M78" s="4" t="n">
        <f aca="false">ROUND((($B78*$AG78)+($B78*$AH78))*$AI78,0)</f>
        <v>1</v>
      </c>
      <c r="N78" s="4" t="n">
        <f aca="false">ROUND((($B78*$AJ78)+($B78*$AK78))*$AL78,0)</f>
        <v>1</v>
      </c>
      <c r="O78" s="4" t="n">
        <f aca="false">INT($BO78*$B78)</f>
        <v>2</v>
      </c>
      <c r="P78" s="4" t="n">
        <f aca="false">INT($BP78*$B78)</f>
        <v>2</v>
      </c>
      <c r="Q78" s="4" t="n">
        <f aca="false">INT($BQ78*$B78*$AR78)</f>
        <v>0</v>
      </c>
      <c r="R78" s="4" t="n">
        <f aca="false">IF($R$1="WT/G",INT(POWER($BH78*$BJ78*$BI78,0.333333)),0)+IF($R$1="WT/A",INT(($BH78+$BJ78+$BI78)/3),0)+IF($R$1="WT/A2",INT(($BJ78+$BI78)/2),0)+IF($R$1="WT/W",INT(($BH78+$BJ78+$BJ78+$BI78)/4),0)+IF($R$1="WT/W2",INT(($BH78+$BJ78+$BI78+$BI78)/4),0)+IF($R$1="WT/N",INT(MIN($BH78,$BJ78,$BI78)),0)+IF($R$1="WT/M",INT(MAX($BH78,$BJ78,$BI78)),0)+IF($R$1="WT/1",INT($BH78),0)+IF($R$1="WT/2",INT($BI78),0)+IF($R$1="WT/3",INT($BJ78),0)</f>
        <v>12</v>
      </c>
      <c r="S78" s="4" t="n">
        <f aca="false">INT((10+$M78)*$BL78)</f>
        <v>13</v>
      </c>
      <c r="T78" s="4" t="n">
        <f aca="false">INT($I78*$BM78*$BF78)</f>
        <v>1</v>
      </c>
      <c r="U78" s="2" t="n">
        <f aca="false">ROUND(MAX($J78,$L78)+(MIN($J78,$L78)*$X78),0)</f>
        <v>2</v>
      </c>
      <c r="V78" s="2" t="n">
        <f aca="false">MAX(1,INT(((MIN($I78:$J78)+(MAX($I78:$J78)*$H78*$Y78)))*$Z78))</f>
        <v>1</v>
      </c>
      <c r="X78" s="5" t="n">
        <f aca="false">VLOOKUP($E78,Role!$A$2:$O$9,14,0)</f>
        <v>1</v>
      </c>
      <c r="Y78" s="5" t="n">
        <f aca="false">VLOOKUP($E78,Role!$A$2:$O$9,15,0)</f>
        <v>1</v>
      </c>
      <c r="Z78" s="5" t="n">
        <f aca="false">VLOOKUP($G78,Movement!$A$2:$C$7,3,0)</f>
        <v>1.5</v>
      </c>
      <c r="AB78" s="5" t="n">
        <f aca="false">INT(5+(($H78-1)/3))</f>
        <v>4</v>
      </c>
      <c r="AC78" s="5" t="n">
        <f aca="false">IF($AB78&lt;$I78,$I78-MAX($AB78,$B78),0)</f>
        <v>0</v>
      </c>
      <c r="AD78" s="5" t="n">
        <f aca="false">(5-ROUND(($H78-1)/3,0))</f>
        <v>5</v>
      </c>
      <c r="AE78" s="5" t="n">
        <f aca="false">IF($AD78&lt;$J78,$J78-MAX($AD78,$B78),0)</f>
        <v>0</v>
      </c>
      <c r="AG78" s="6" t="n">
        <f aca="false">VLOOKUP($F78,Category!$A$2:$AZ$20,24,0)</f>
        <v>0</v>
      </c>
      <c r="AH78" s="6" t="n">
        <f aca="false">VLOOKUP($F78,Category!$A$2:$AZ$20,26,0)</f>
        <v>0.333333333333333</v>
      </c>
      <c r="AI78" s="6" t="n">
        <f aca="false">VLOOKUP($E78,Role!$A$2:$O$9,6,0)</f>
        <v>0.666</v>
      </c>
      <c r="AJ78" s="6" t="n">
        <f aca="false">VLOOKUP($F78,Category!$A$2:$AZ$20,19,0)</f>
        <v>0.0909090909090909</v>
      </c>
      <c r="AK78" s="6" t="n">
        <f aca="false">VLOOKUP($F78,Category!$A$2:$AZ$20,21,0)</f>
        <v>0.545454545454545</v>
      </c>
      <c r="AL78" s="6" t="n">
        <f aca="false">VLOOKUP($E78,Role!$A$2:$O$9,7,0)</f>
        <v>0.666</v>
      </c>
      <c r="AM78" s="6" t="n">
        <f aca="false">VLOOKUP($F78,Category!$A$2:$AZ$20,19,0)</f>
        <v>0.0909090909090909</v>
      </c>
      <c r="AN78" s="6" t="n">
        <f aca="false">VLOOKUP($F78,Category!$A$2:$AZ$20,21,0)</f>
        <v>0.545454545454545</v>
      </c>
      <c r="AO78" s="6" t="n">
        <f aca="false">VLOOKUP($E78,Role!$A$2:$O$9,5,0)</f>
        <v>0.666</v>
      </c>
      <c r="AP78" s="6" t="n">
        <f aca="false">VLOOKUP($F78,Category!$A$2:$AZ$20,9,0)</f>
        <v>0</v>
      </c>
      <c r="AQ78" s="6" t="n">
        <f aca="false">VLOOKUP($F78,Category!$A$2:$AZ$20,11,0)</f>
        <v>0.555555555555556</v>
      </c>
      <c r="AR78" s="6" t="n">
        <f aca="false">VLOOKUP($F78,Category!$A$2:$AZ$20,10,0)</f>
        <v>0.555555555555556</v>
      </c>
      <c r="AS78" s="6" t="n">
        <f aca="false">VLOOKUP($E78,Role!$A$2:$O$9,4,0)</f>
        <v>0.666</v>
      </c>
      <c r="AT78" s="7" t="n">
        <f aca="false">VLOOKUP($F78,Category!$A$2:$AZ$20,14,0)</f>
        <v>0.416666666666667</v>
      </c>
      <c r="AU78" s="7" t="n">
        <f aca="false">VLOOKUP($F78,Category!$A$2:$AZ$20,16,0)</f>
        <v>0.25</v>
      </c>
      <c r="AV78" s="7" t="n">
        <f aca="false">VLOOKUP($D78,Size!$A$2:$Z$14,17,0)</f>
        <v>3</v>
      </c>
      <c r="AW78" s="7" t="n">
        <f aca="false">VLOOKUP($E78,Role!$A$2:$O$9,3,0)</f>
        <v>0.666</v>
      </c>
      <c r="AX78" s="7" t="n">
        <f aca="false">VLOOKUP($F78,Category!$A$2:$AZ$20,29,0)</f>
        <v>0.333333333333333</v>
      </c>
      <c r="AY78" s="7" t="n">
        <f aca="false">VLOOKUP($F78,Category!$A$2:$AZ$20,31,0)</f>
        <v>0.333333333333333</v>
      </c>
      <c r="AZ78" s="7" t="n">
        <f aca="false">VLOOKUP($D78,Size!$A$2:$Z$14,16,0)</f>
        <v>2</v>
      </c>
      <c r="BA78" s="7" t="n">
        <f aca="false">VLOOKUP($E78,Role!$A$2:$O$9,2,0)</f>
        <v>0.666</v>
      </c>
      <c r="BC78" s="7" t="n">
        <f aca="false">VLOOKUP($D78,Size!$A$2:$Z$14,19,0)</f>
        <v>9</v>
      </c>
      <c r="BD78" s="7" t="n">
        <f aca="false">VLOOKUP($D78,Size!$A$2:$Z$14,20,0)</f>
        <v>0.75</v>
      </c>
      <c r="BE78" s="7" t="n">
        <f aca="false">VLOOKUP($E78,Role!$A$2:$O$9,12,0)</f>
        <v>1.25</v>
      </c>
      <c r="BF78" s="7" t="n">
        <f aca="false">VLOOKUP($C78,Type!$A$2:$B$4,2,0)</f>
        <v>1</v>
      </c>
      <c r="BG78" s="7" t="n">
        <f aca="false">VLOOKUP($D78,Size!$A$2:$Z$14,18,0)</f>
        <v>10.0928271821888</v>
      </c>
      <c r="BH78" s="7" t="n">
        <f aca="false">INT($BF78*$BG78*$BE78*$B78/2)</f>
        <v>18</v>
      </c>
      <c r="BI78" s="7" t="n">
        <f aca="false">INT(($BC78*$BF78)+($I78*$BD78))</f>
        <v>10</v>
      </c>
      <c r="BJ78" s="7" t="n">
        <f aca="false">INT((($I78*$BE78)+$BC78)*$BF78)</f>
        <v>11</v>
      </c>
      <c r="BK78" s="14"/>
      <c r="BL78" s="7" t="n">
        <f aca="false">VLOOKUP($E78,Role!$A$2:$O$9,13,0)</f>
        <v>1.25</v>
      </c>
      <c r="BM78" s="7" t="n">
        <f aca="false">VLOOKUP($E78,Role!$A$2:$O$9,11,0)</f>
        <v>0.666</v>
      </c>
      <c r="BO78" s="7" t="n">
        <f aca="false">VLOOKUP($E78,Role!$A$2:$O$9,8,0)</f>
        <v>0.75</v>
      </c>
      <c r="BP78" s="7" t="n">
        <f aca="false">VLOOKUP($E78,Role!$A$2:$O$9,9,0)</f>
        <v>0.75</v>
      </c>
      <c r="BQ78" s="7" t="n">
        <f aca="false">VLOOKUP($E78,Role!$A$2:$O$9,10,0)</f>
        <v>0.5</v>
      </c>
    </row>
    <row r="79" customFormat="false" ht="12.8" hidden="false" customHeight="false" outlineLevel="0" collapsed="false">
      <c r="B79" s="2" t="n">
        <v>3</v>
      </c>
      <c r="C79" s="3" t="s">
        <v>63</v>
      </c>
      <c r="D79" s="1" t="s">
        <v>64</v>
      </c>
      <c r="E79" s="1" t="s">
        <v>70</v>
      </c>
      <c r="F79" s="1" t="s">
        <v>79</v>
      </c>
      <c r="G79" s="1" t="s">
        <v>80</v>
      </c>
      <c r="H79" s="4" t="n">
        <f aca="false">VLOOKUP($D79,Size!$A$2:$Z$14,6,0)</f>
        <v>1</v>
      </c>
      <c r="I79" s="13" t="n">
        <f aca="false">INT(($B79*$AZ79*$AX79*$BA79)+($B79*$AY79))</f>
        <v>2</v>
      </c>
      <c r="J79" s="4" t="n">
        <f aca="false">ROUND((($B79*$AT79)+($AV79*$AU79))*$AW79,0)</f>
        <v>1</v>
      </c>
      <c r="K79" s="4" t="n">
        <f aca="false">ROUND((($B79*$AP79)+($B79*$AQ79))*$AS79,0)</f>
        <v>1</v>
      </c>
      <c r="L79" s="4" t="n">
        <f aca="false">ROUND((($B79*$AM79)+($B79*$AN79))*$AO79,0)</f>
        <v>1</v>
      </c>
      <c r="M79" s="4" t="n">
        <f aca="false">ROUND((($B79*$AG79)+($B79*$AH79))*$AI79,0)</f>
        <v>1</v>
      </c>
      <c r="N79" s="4" t="n">
        <f aca="false">ROUND((($B79*$AJ79)+($B79*$AK79))*$AL79,0)</f>
        <v>1</v>
      </c>
      <c r="O79" s="4" t="n">
        <f aca="false">INT($BO79*$B79)</f>
        <v>2</v>
      </c>
      <c r="P79" s="4" t="n">
        <f aca="false">INT($BP79*$B79)</f>
        <v>2</v>
      </c>
      <c r="Q79" s="4" t="n">
        <f aca="false">INT($BQ79*$B79*$AR79)</f>
        <v>0</v>
      </c>
      <c r="R79" s="4" t="n">
        <f aca="false">IF($R$1="WT/G",INT(POWER($BH79*$BJ79*$BI79,0.333333)),0)+IF($R$1="WT/A",INT(($BH79+$BJ79+$BI79)/3),0)+IF($R$1="WT/A2",INT(($BJ79+$BI79)/2),0)+IF($R$1="WT/W",INT(($BH79+$BJ79+$BJ79+$BI79)/4),0)+IF($R$1="WT/W2",INT(($BH79+$BJ79+$BI79+$BI79)/4),0)+IF($R$1="WT/N",INT(MIN($BH79,$BJ79,$BI79)),0)+IF($R$1="WT/M",INT(MAX($BH79,$BJ79,$BI79)),0)+IF($R$1="WT/1",INT($BH79),0)+IF($R$1="WT/2",INT($BI79),0)+IF($R$1="WT/3",INT($BJ79),0)</f>
        <v>15</v>
      </c>
      <c r="S79" s="4" t="n">
        <f aca="false">INT((10+$M79)*$BL79)</f>
        <v>13</v>
      </c>
      <c r="T79" s="4" t="n">
        <f aca="false">INT($I79*$BM79*$BF79)</f>
        <v>1</v>
      </c>
      <c r="U79" s="2" t="n">
        <f aca="false">ROUND(MAX($J79,$L79)+(MIN($J79,$L79)*$X79),0)</f>
        <v>2</v>
      </c>
      <c r="V79" s="2" t="n">
        <f aca="false">MAX(1,INT(((MIN($I79:$J79)+(MAX($I79:$J79)*$H79*$Y79)))*$Z79))</f>
        <v>4</v>
      </c>
      <c r="X79" s="5" t="n">
        <f aca="false">VLOOKUP($E79,Role!$A$2:$O$9,14,0)</f>
        <v>1</v>
      </c>
      <c r="Y79" s="5" t="n">
        <f aca="false">VLOOKUP($E79,Role!$A$2:$O$9,15,0)</f>
        <v>1</v>
      </c>
      <c r="Z79" s="5" t="n">
        <f aca="false">VLOOKUP($G79,Movement!$A$2:$C$7,3,0)</f>
        <v>1.5</v>
      </c>
      <c r="AB79" s="5" t="n">
        <f aca="false">INT(5+(($H79-1)/3))</f>
        <v>5</v>
      </c>
      <c r="AC79" s="5" t="n">
        <f aca="false">IF($AB79&lt;$I79,$I79-MAX($AB79,$B79),0)</f>
        <v>0</v>
      </c>
      <c r="AD79" s="5" t="n">
        <f aca="false">(5-ROUND(($H79-1)/3,0))</f>
        <v>5</v>
      </c>
      <c r="AE79" s="5" t="n">
        <f aca="false">IF($AD79&lt;$J79,$J79-MAX($AD79,$B79),0)</f>
        <v>0</v>
      </c>
      <c r="AG79" s="6" t="n">
        <f aca="false">VLOOKUP($F79,Category!$A$2:$AZ$20,24,0)</f>
        <v>0</v>
      </c>
      <c r="AH79" s="6" t="n">
        <f aca="false">VLOOKUP($F79,Category!$A$2:$AZ$20,26,0)</f>
        <v>0.333333333333333</v>
      </c>
      <c r="AI79" s="6" t="n">
        <f aca="false">VLOOKUP($E79,Role!$A$2:$O$9,6,0)</f>
        <v>0.666</v>
      </c>
      <c r="AJ79" s="6" t="n">
        <f aca="false">VLOOKUP($F79,Category!$A$2:$AZ$20,19,0)</f>
        <v>0.0909090909090909</v>
      </c>
      <c r="AK79" s="6" t="n">
        <f aca="false">VLOOKUP($F79,Category!$A$2:$AZ$20,21,0)</f>
        <v>0.545454545454545</v>
      </c>
      <c r="AL79" s="6" t="n">
        <f aca="false">VLOOKUP($E79,Role!$A$2:$O$9,7,0)</f>
        <v>0.666</v>
      </c>
      <c r="AM79" s="6" t="n">
        <f aca="false">VLOOKUP($F79,Category!$A$2:$AZ$20,19,0)</f>
        <v>0.0909090909090909</v>
      </c>
      <c r="AN79" s="6" t="n">
        <f aca="false">VLOOKUP($F79,Category!$A$2:$AZ$20,21,0)</f>
        <v>0.545454545454545</v>
      </c>
      <c r="AO79" s="6" t="n">
        <f aca="false">VLOOKUP($E79,Role!$A$2:$O$9,5,0)</f>
        <v>0.666</v>
      </c>
      <c r="AP79" s="6" t="n">
        <f aca="false">VLOOKUP($F79,Category!$A$2:$AZ$20,9,0)</f>
        <v>0</v>
      </c>
      <c r="AQ79" s="6" t="n">
        <f aca="false">VLOOKUP($F79,Category!$A$2:$AZ$20,11,0)</f>
        <v>0.555555555555556</v>
      </c>
      <c r="AR79" s="6" t="n">
        <f aca="false">VLOOKUP($F79,Category!$A$2:$AZ$20,10,0)</f>
        <v>0.555555555555556</v>
      </c>
      <c r="AS79" s="6" t="n">
        <f aca="false">VLOOKUP($E79,Role!$A$2:$O$9,4,0)</f>
        <v>0.666</v>
      </c>
      <c r="AT79" s="7" t="n">
        <f aca="false">VLOOKUP($F79,Category!$A$2:$AZ$20,14,0)</f>
        <v>0.416666666666667</v>
      </c>
      <c r="AU79" s="7" t="n">
        <f aca="false">VLOOKUP($F79,Category!$A$2:$AZ$20,16,0)</f>
        <v>0.25</v>
      </c>
      <c r="AV79" s="7" t="n">
        <f aca="false">VLOOKUP($D79,Size!$A$2:$Z$14,17,0)</f>
        <v>3</v>
      </c>
      <c r="AW79" s="7" t="n">
        <f aca="false">VLOOKUP($E79,Role!$A$2:$O$9,3,0)</f>
        <v>0.666</v>
      </c>
      <c r="AX79" s="7" t="n">
        <f aca="false">VLOOKUP($F79,Category!$A$2:$AZ$20,29,0)</f>
        <v>0.333333333333333</v>
      </c>
      <c r="AY79" s="7" t="n">
        <f aca="false">VLOOKUP($F79,Category!$A$2:$AZ$20,31,0)</f>
        <v>0.333333333333333</v>
      </c>
      <c r="AZ79" s="7" t="n">
        <f aca="false">VLOOKUP($D79,Size!$A$2:$Z$14,16,0)</f>
        <v>3</v>
      </c>
      <c r="BA79" s="7" t="n">
        <f aca="false">VLOOKUP($E79,Role!$A$2:$O$9,2,0)</f>
        <v>0.666</v>
      </c>
      <c r="BC79" s="7" t="n">
        <f aca="false">VLOOKUP($D79,Size!$A$2:$Z$14,19,0)</f>
        <v>10</v>
      </c>
      <c r="BD79" s="7" t="n">
        <f aca="false">VLOOKUP($D79,Size!$A$2:$Z$14,20,0)</f>
        <v>1</v>
      </c>
      <c r="BE79" s="7" t="n">
        <f aca="false">VLOOKUP($E79,Role!$A$2:$O$9,12,0)</f>
        <v>1.25</v>
      </c>
      <c r="BF79" s="7" t="n">
        <f aca="false">VLOOKUP($C79,Type!$A$2:$B$4,2,0)</f>
        <v>1</v>
      </c>
      <c r="BG79" s="7" t="n">
        <f aca="false">VLOOKUP($D79,Size!$A$2:$Z$14,18,0)</f>
        <v>13</v>
      </c>
      <c r="BH79" s="7" t="n">
        <f aca="false">INT($BF79*$BG79*$BE79*$B79/2)</f>
        <v>24</v>
      </c>
      <c r="BI79" s="7" t="n">
        <f aca="false">INT(($BC79*$BF79)+($I79*$BD79))</f>
        <v>12</v>
      </c>
      <c r="BJ79" s="7" t="n">
        <f aca="false">INT((($I79*$BE79)+$BC79)*$BF79)</f>
        <v>12</v>
      </c>
      <c r="BK79" s="14"/>
      <c r="BL79" s="7" t="n">
        <f aca="false">VLOOKUP($E79,Role!$A$2:$O$9,13,0)</f>
        <v>1.25</v>
      </c>
      <c r="BM79" s="7" t="n">
        <f aca="false">VLOOKUP($E79,Role!$A$2:$O$9,11,0)</f>
        <v>0.666</v>
      </c>
      <c r="BO79" s="7" t="n">
        <f aca="false">VLOOKUP($E79,Role!$A$2:$O$9,8,0)</f>
        <v>0.75</v>
      </c>
      <c r="BP79" s="7" t="n">
        <f aca="false">VLOOKUP($E79,Role!$A$2:$O$9,9,0)</f>
        <v>0.75</v>
      </c>
      <c r="BQ79" s="7" t="n">
        <f aca="false">VLOOKUP($E79,Role!$A$2:$O$9,10,0)</f>
        <v>0.5</v>
      </c>
    </row>
    <row r="80" customFormat="false" ht="12.8" hidden="false" customHeight="false" outlineLevel="0" collapsed="false">
      <c r="B80" s="2" t="n">
        <v>3</v>
      </c>
      <c r="C80" s="3" t="s">
        <v>63</v>
      </c>
      <c r="D80" s="1" t="s">
        <v>84</v>
      </c>
      <c r="E80" s="1" t="s">
        <v>70</v>
      </c>
      <c r="F80" s="1" t="s">
        <v>79</v>
      </c>
      <c r="G80" s="1" t="s">
        <v>80</v>
      </c>
      <c r="H80" s="4" t="n">
        <f aca="false">VLOOKUP($D80,Size!$A$2:$Z$14,6,0)</f>
        <v>2</v>
      </c>
      <c r="I80" s="13" t="n">
        <f aca="false">INT(($B80*$AZ80*$AX80*$BA80)+($B80*$AY80))</f>
        <v>2</v>
      </c>
      <c r="J80" s="4" t="n">
        <f aca="false">ROUND((($B80*$AT80)+($AV80*$AU80))*$AW80,0)</f>
        <v>1</v>
      </c>
      <c r="K80" s="4" t="n">
        <f aca="false">ROUND((($B80*$AP80)+($B80*$AQ80))*$AS80,0)</f>
        <v>1</v>
      </c>
      <c r="L80" s="4" t="n">
        <f aca="false">ROUND((($B80*$AM80)+($B80*$AN80))*$AO80,0)</f>
        <v>1</v>
      </c>
      <c r="M80" s="4" t="n">
        <f aca="false">ROUND((($B80*$AG80)+($B80*$AH80))*$AI80,0)</f>
        <v>1</v>
      </c>
      <c r="N80" s="4" t="n">
        <f aca="false">ROUND((($B80*$AJ80)+($B80*$AK80))*$AL80,0)</f>
        <v>1</v>
      </c>
      <c r="O80" s="4" t="n">
        <f aca="false">INT($BO80*$B80)</f>
        <v>2</v>
      </c>
      <c r="P80" s="4" t="n">
        <f aca="false">INT($BP80*$B80)</f>
        <v>2</v>
      </c>
      <c r="Q80" s="4" t="n">
        <f aca="false">INT($BQ80*$B80*$AR80)</f>
        <v>0</v>
      </c>
      <c r="R80" s="4" t="n">
        <f aca="false">IF($R$1="WT/G",INT(POWER($BH80*$BJ80*$BI80,0.333333)),0)+IF($R$1="WT/A",INT(($BH80+$BJ80+$BI80)/3),0)+IF($R$1="WT/A2",INT(($BJ80+$BI80)/2),0)+IF($R$1="WT/W",INT(($BH80+$BJ80+$BJ80+$BI80)/4),0)+IF($R$1="WT/W2",INT(($BH80+$BJ80+$BI80+$BI80)/4),0)+IF($R$1="WT/N",INT(MIN($BH80,$BJ80,$BI80)),0)+IF($R$1="WT/M",INT(MAX($BH80,$BJ80,$BI80)),0)+IF($R$1="WT/1",INT($BH80),0)+IF($R$1="WT/2",INT($BI80),0)+IF($R$1="WT/3",INT($BJ80),0)</f>
        <v>18</v>
      </c>
      <c r="S80" s="4" t="n">
        <f aca="false">INT((10+$M80)*$BL80)</f>
        <v>13</v>
      </c>
      <c r="T80" s="4" t="n">
        <f aca="false">INT($I80*$BM80*$BF80)</f>
        <v>1</v>
      </c>
      <c r="U80" s="2" t="n">
        <f aca="false">ROUND(MAX($J80,$L80)+(MIN($J80,$L80)*$X80),0)</f>
        <v>2</v>
      </c>
      <c r="V80" s="2" t="n">
        <f aca="false">MAX(1,INT(((MIN($I80:$J80)+(MAX($I80:$J80)*$H80*$Y80)))*$Z80))</f>
        <v>7</v>
      </c>
      <c r="X80" s="5" t="n">
        <f aca="false">VLOOKUP($E80,Role!$A$2:$O$9,14,0)</f>
        <v>1</v>
      </c>
      <c r="Y80" s="5" t="n">
        <f aca="false">VLOOKUP($E80,Role!$A$2:$O$9,15,0)</f>
        <v>1</v>
      </c>
      <c r="Z80" s="5" t="n">
        <f aca="false">VLOOKUP($G80,Movement!$A$2:$C$7,3,0)</f>
        <v>1.5</v>
      </c>
      <c r="AB80" s="5" t="n">
        <f aca="false">INT(5+(($H80-1)/3))</f>
        <v>5</v>
      </c>
      <c r="AC80" s="5" t="n">
        <f aca="false">IF($AB80&lt;$I80,$I80-MAX($AB80,$B80),0)</f>
        <v>0</v>
      </c>
      <c r="AD80" s="5" t="n">
        <f aca="false">(5-ROUND(($H80-1)/3,0))</f>
        <v>5</v>
      </c>
      <c r="AE80" s="5" t="n">
        <f aca="false">IF($AD80&lt;$J80,$J80-MAX($AD80,$B80),0)</f>
        <v>0</v>
      </c>
      <c r="AG80" s="6" t="n">
        <f aca="false">VLOOKUP($F80,Category!$A$2:$AZ$20,24,0)</f>
        <v>0</v>
      </c>
      <c r="AH80" s="6" t="n">
        <f aca="false">VLOOKUP($F80,Category!$A$2:$AZ$20,26,0)</f>
        <v>0.333333333333333</v>
      </c>
      <c r="AI80" s="6" t="n">
        <f aca="false">VLOOKUP($E80,Role!$A$2:$O$9,6,0)</f>
        <v>0.666</v>
      </c>
      <c r="AJ80" s="6" t="n">
        <f aca="false">VLOOKUP($F80,Category!$A$2:$AZ$20,19,0)</f>
        <v>0.0909090909090909</v>
      </c>
      <c r="AK80" s="6" t="n">
        <f aca="false">VLOOKUP($F80,Category!$A$2:$AZ$20,21,0)</f>
        <v>0.545454545454545</v>
      </c>
      <c r="AL80" s="6" t="n">
        <f aca="false">VLOOKUP($E80,Role!$A$2:$O$9,7,0)</f>
        <v>0.666</v>
      </c>
      <c r="AM80" s="6" t="n">
        <f aca="false">VLOOKUP($F80,Category!$A$2:$AZ$20,19,0)</f>
        <v>0.0909090909090909</v>
      </c>
      <c r="AN80" s="6" t="n">
        <f aca="false">VLOOKUP($F80,Category!$A$2:$AZ$20,21,0)</f>
        <v>0.545454545454545</v>
      </c>
      <c r="AO80" s="6" t="n">
        <f aca="false">VLOOKUP($E80,Role!$A$2:$O$9,5,0)</f>
        <v>0.666</v>
      </c>
      <c r="AP80" s="6" t="n">
        <f aca="false">VLOOKUP($F80,Category!$A$2:$AZ$20,9,0)</f>
        <v>0</v>
      </c>
      <c r="AQ80" s="6" t="n">
        <f aca="false">VLOOKUP($F80,Category!$A$2:$AZ$20,11,0)</f>
        <v>0.555555555555556</v>
      </c>
      <c r="AR80" s="6" t="n">
        <f aca="false">VLOOKUP($F80,Category!$A$2:$AZ$20,10,0)</f>
        <v>0.555555555555556</v>
      </c>
      <c r="AS80" s="6" t="n">
        <f aca="false">VLOOKUP($E80,Role!$A$2:$O$9,4,0)</f>
        <v>0.666</v>
      </c>
      <c r="AT80" s="7" t="n">
        <f aca="false">VLOOKUP($F80,Category!$A$2:$AZ$20,14,0)</f>
        <v>0.416666666666667</v>
      </c>
      <c r="AU80" s="7" t="n">
        <f aca="false">VLOOKUP($F80,Category!$A$2:$AZ$20,16,0)</f>
        <v>0.25</v>
      </c>
      <c r="AV80" s="7" t="n">
        <f aca="false">VLOOKUP($D80,Size!$A$2:$Z$14,17,0)</f>
        <v>3</v>
      </c>
      <c r="AW80" s="7" t="n">
        <f aca="false">VLOOKUP($E80,Role!$A$2:$O$9,3,0)</f>
        <v>0.666</v>
      </c>
      <c r="AX80" s="7" t="n">
        <f aca="false">VLOOKUP($F80,Category!$A$2:$AZ$20,29,0)</f>
        <v>0.333333333333333</v>
      </c>
      <c r="AY80" s="7" t="n">
        <f aca="false">VLOOKUP($F80,Category!$A$2:$AZ$20,31,0)</f>
        <v>0.333333333333333</v>
      </c>
      <c r="AZ80" s="7" t="n">
        <f aca="false">VLOOKUP($D80,Size!$A$2:$Z$14,16,0)</f>
        <v>3</v>
      </c>
      <c r="BA80" s="7" t="n">
        <f aca="false">VLOOKUP($E80,Role!$A$2:$O$9,2,0)</f>
        <v>0.666</v>
      </c>
      <c r="BC80" s="7" t="n">
        <f aca="false">VLOOKUP($D80,Size!$A$2:$Z$14,19,0)</f>
        <v>12</v>
      </c>
      <c r="BD80" s="7" t="n">
        <f aca="false">VLOOKUP($D80,Size!$A$2:$Z$14,20,0)</f>
        <v>1.5</v>
      </c>
      <c r="BE80" s="7" t="n">
        <f aca="false">VLOOKUP($E80,Role!$A$2:$O$9,12,0)</f>
        <v>1.25</v>
      </c>
      <c r="BF80" s="7" t="n">
        <f aca="false">VLOOKUP($C80,Type!$A$2:$B$4,2,0)</f>
        <v>1</v>
      </c>
      <c r="BG80" s="7" t="n">
        <f aca="false">VLOOKUP($D80,Size!$A$2:$Z$14,18,0)</f>
        <v>16.2236679323423</v>
      </c>
      <c r="BH80" s="7" t="n">
        <f aca="false">INT($BF80*$BG80*$BE80*$B80/2)</f>
        <v>30</v>
      </c>
      <c r="BI80" s="7" t="n">
        <f aca="false">INT(($BC80*$BF80)+($I80*$BD80))</f>
        <v>15</v>
      </c>
      <c r="BJ80" s="7" t="n">
        <f aca="false">INT((($I80*$BE80)+$BC80)*$BF80)</f>
        <v>14</v>
      </c>
      <c r="BK80" s="14"/>
      <c r="BL80" s="7" t="n">
        <f aca="false">VLOOKUP($E80,Role!$A$2:$O$9,13,0)</f>
        <v>1.25</v>
      </c>
      <c r="BM80" s="7" t="n">
        <f aca="false">VLOOKUP($E80,Role!$A$2:$O$9,11,0)</f>
        <v>0.666</v>
      </c>
      <c r="BO80" s="7" t="n">
        <f aca="false">VLOOKUP($E80,Role!$A$2:$O$9,8,0)</f>
        <v>0.75</v>
      </c>
      <c r="BP80" s="7" t="n">
        <f aca="false">VLOOKUP($E80,Role!$A$2:$O$9,9,0)</f>
        <v>0.75</v>
      </c>
      <c r="BQ80" s="7" t="n">
        <f aca="false">VLOOKUP($E80,Role!$A$2:$O$9,10,0)</f>
        <v>0.5</v>
      </c>
    </row>
    <row r="81" customFormat="false" ht="12.8" hidden="false" customHeight="false" outlineLevel="0" collapsed="false">
      <c r="B81" s="2" t="n">
        <v>3</v>
      </c>
      <c r="C81" s="3" t="s">
        <v>63</v>
      </c>
      <c r="D81" s="1" t="s">
        <v>85</v>
      </c>
      <c r="E81" s="1" t="s">
        <v>70</v>
      </c>
      <c r="F81" s="1" t="s">
        <v>79</v>
      </c>
      <c r="G81" s="1" t="s">
        <v>80</v>
      </c>
      <c r="H81" s="4" t="n">
        <f aca="false">VLOOKUP($D81,Size!$A$2:$Z$14,6,0)</f>
        <v>3</v>
      </c>
      <c r="I81" s="13" t="n">
        <f aca="false">INT(($B81*$AZ81*$AX81*$BA81)+($B81*$AY81))</f>
        <v>3</v>
      </c>
      <c r="J81" s="4" t="n">
        <f aca="false">ROUND((($B81*$AT81)+($AV81*$AU81))*$AW81,0)</f>
        <v>1</v>
      </c>
      <c r="K81" s="4" t="n">
        <f aca="false">ROUND((($B81*$AP81)+($B81*$AQ81))*$AS81,0)</f>
        <v>1</v>
      </c>
      <c r="L81" s="4" t="n">
        <f aca="false">ROUND((($B81*$AM81)+($B81*$AN81))*$AO81,0)</f>
        <v>1</v>
      </c>
      <c r="M81" s="4" t="n">
        <f aca="false">ROUND((($B81*$AG81)+($B81*$AH81))*$AI81,0)</f>
        <v>1</v>
      </c>
      <c r="N81" s="4" t="n">
        <f aca="false">ROUND((($B81*$AJ81)+($B81*$AK81))*$AL81,0)</f>
        <v>1</v>
      </c>
      <c r="O81" s="4" t="n">
        <f aca="false">INT($BO81*$B81)</f>
        <v>2</v>
      </c>
      <c r="P81" s="4" t="n">
        <f aca="false">INT($BP81*$B81)</f>
        <v>2</v>
      </c>
      <c r="Q81" s="4" t="n">
        <f aca="false">INT($BQ81*$B81*$AR81)</f>
        <v>0</v>
      </c>
      <c r="R81" s="4" t="n">
        <f aca="false">IF($R$1="WT/G",INT(POWER($BH81*$BJ81*$BI81,0.333333)),0)+IF($R$1="WT/A",INT(($BH81+$BJ81+$BI81)/3),0)+IF($R$1="WT/A2",INT(($BJ81+$BI81)/2),0)+IF($R$1="WT/W",INT(($BH81+$BJ81+$BJ81+$BI81)/4),0)+IF($R$1="WT/W2",INT(($BH81+$BJ81+$BI81+$BI81)/4),0)+IF($R$1="WT/N",INT(MIN($BH81,$BJ81,$BI81)),0)+IF($R$1="WT/M",INT(MAX($BH81,$BJ81,$BI81)),0)+IF($R$1="WT/1",INT($BH81),0)+IF($R$1="WT/2",INT($BI81),0)+IF($R$1="WT/3",INT($BJ81),0)</f>
        <v>24</v>
      </c>
      <c r="S81" s="4" t="n">
        <f aca="false">INT((10+$M81)*$BL81)</f>
        <v>13</v>
      </c>
      <c r="T81" s="4" t="n">
        <f aca="false">INT($I81*$BM81*$BF81)</f>
        <v>1</v>
      </c>
      <c r="U81" s="2" t="n">
        <f aca="false">ROUND(MAX($J81,$L81)+(MIN($J81,$L81)*$X81),0)</f>
        <v>2</v>
      </c>
      <c r="V81" s="2" t="n">
        <f aca="false">MAX(1,INT(((MIN($I81:$J81)+(MAX($I81:$J81)*$H81*$Y81)))*$Z81))</f>
        <v>15</v>
      </c>
      <c r="X81" s="5" t="n">
        <f aca="false">VLOOKUP($E81,Role!$A$2:$O$9,14,0)</f>
        <v>1</v>
      </c>
      <c r="Y81" s="5" t="n">
        <f aca="false">VLOOKUP($E81,Role!$A$2:$O$9,15,0)</f>
        <v>1</v>
      </c>
      <c r="Z81" s="5" t="n">
        <f aca="false">VLOOKUP($G81,Movement!$A$2:$C$7,3,0)</f>
        <v>1.5</v>
      </c>
      <c r="AB81" s="5" t="n">
        <f aca="false">INT(5+(($H81-1)/3))</f>
        <v>5</v>
      </c>
      <c r="AC81" s="5" t="n">
        <f aca="false">IF($AB81&lt;$I81,$I81-MAX($AB81,$B81),0)</f>
        <v>0</v>
      </c>
      <c r="AD81" s="5" t="n">
        <f aca="false">(5-ROUND(($H81-1)/3,0))</f>
        <v>4</v>
      </c>
      <c r="AE81" s="5" t="n">
        <f aca="false">IF($AD81&lt;$J81,$J81-MAX($AD81,$B81),0)</f>
        <v>0</v>
      </c>
      <c r="AG81" s="6" t="n">
        <f aca="false">VLOOKUP($F81,Category!$A$2:$AZ$20,24,0)</f>
        <v>0</v>
      </c>
      <c r="AH81" s="6" t="n">
        <f aca="false">VLOOKUP($F81,Category!$A$2:$AZ$20,26,0)</f>
        <v>0.333333333333333</v>
      </c>
      <c r="AI81" s="6" t="n">
        <f aca="false">VLOOKUP($E81,Role!$A$2:$O$9,6,0)</f>
        <v>0.666</v>
      </c>
      <c r="AJ81" s="6" t="n">
        <f aca="false">VLOOKUP($F81,Category!$A$2:$AZ$20,19,0)</f>
        <v>0.0909090909090909</v>
      </c>
      <c r="AK81" s="6" t="n">
        <f aca="false">VLOOKUP($F81,Category!$A$2:$AZ$20,21,0)</f>
        <v>0.545454545454545</v>
      </c>
      <c r="AL81" s="6" t="n">
        <f aca="false">VLOOKUP($E81,Role!$A$2:$O$9,7,0)</f>
        <v>0.666</v>
      </c>
      <c r="AM81" s="6" t="n">
        <f aca="false">VLOOKUP($F81,Category!$A$2:$AZ$20,19,0)</f>
        <v>0.0909090909090909</v>
      </c>
      <c r="AN81" s="6" t="n">
        <f aca="false">VLOOKUP($F81,Category!$A$2:$AZ$20,21,0)</f>
        <v>0.545454545454545</v>
      </c>
      <c r="AO81" s="6" t="n">
        <f aca="false">VLOOKUP($E81,Role!$A$2:$O$9,5,0)</f>
        <v>0.666</v>
      </c>
      <c r="AP81" s="6" t="n">
        <f aca="false">VLOOKUP($F81,Category!$A$2:$AZ$20,9,0)</f>
        <v>0</v>
      </c>
      <c r="AQ81" s="6" t="n">
        <f aca="false">VLOOKUP($F81,Category!$A$2:$AZ$20,11,0)</f>
        <v>0.555555555555556</v>
      </c>
      <c r="AR81" s="6" t="n">
        <f aca="false">VLOOKUP($F81,Category!$A$2:$AZ$20,10,0)</f>
        <v>0.555555555555556</v>
      </c>
      <c r="AS81" s="6" t="n">
        <f aca="false">VLOOKUP($E81,Role!$A$2:$O$9,4,0)</f>
        <v>0.666</v>
      </c>
      <c r="AT81" s="7" t="n">
        <f aca="false">VLOOKUP($F81,Category!$A$2:$AZ$20,14,0)</f>
        <v>0.416666666666667</v>
      </c>
      <c r="AU81" s="7" t="n">
        <f aca="false">VLOOKUP($F81,Category!$A$2:$AZ$20,16,0)</f>
        <v>0.25</v>
      </c>
      <c r="AV81" s="7" t="n">
        <f aca="false">VLOOKUP($D81,Size!$A$2:$Z$14,17,0)</f>
        <v>2</v>
      </c>
      <c r="AW81" s="7" t="n">
        <f aca="false">VLOOKUP($E81,Role!$A$2:$O$9,3,0)</f>
        <v>0.666</v>
      </c>
      <c r="AX81" s="7" t="n">
        <f aca="false">VLOOKUP($F81,Category!$A$2:$AZ$20,29,0)</f>
        <v>0.333333333333333</v>
      </c>
      <c r="AY81" s="7" t="n">
        <f aca="false">VLOOKUP($F81,Category!$A$2:$AZ$20,31,0)</f>
        <v>0.333333333333333</v>
      </c>
      <c r="AZ81" s="7" t="n">
        <f aca="false">VLOOKUP($D81,Size!$A$2:$Z$14,16,0)</f>
        <v>4</v>
      </c>
      <c r="BA81" s="7" t="n">
        <f aca="false">VLOOKUP($E81,Role!$A$2:$O$9,2,0)</f>
        <v>0.666</v>
      </c>
      <c r="BC81" s="7" t="n">
        <f aca="false">VLOOKUP($D81,Size!$A$2:$Z$14,19,0)</f>
        <v>14</v>
      </c>
      <c r="BD81" s="7" t="n">
        <f aca="false">VLOOKUP($D81,Size!$A$2:$Z$14,20,0)</f>
        <v>2</v>
      </c>
      <c r="BE81" s="7" t="n">
        <f aca="false">VLOOKUP($E81,Role!$A$2:$O$9,12,0)</f>
        <v>1.25</v>
      </c>
      <c r="BF81" s="7" t="n">
        <f aca="false">VLOOKUP($C81,Type!$A$2:$B$4,2,0)</f>
        <v>1</v>
      </c>
      <c r="BG81" s="7" t="n">
        <f aca="false">VLOOKUP($D81,Size!$A$2:$Z$14,18,0)</f>
        <v>21.7830216372384</v>
      </c>
      <c r="BH81" s="7" t="n">
        <f aca="false">INT($BF81*$BG81*$BE81*$B81/2)</f>
        <v>40</v>
      </c>
      <c r="BI81" s="7" t="n">
        <f aca="false">INT(($BC81*$BF81)+($I81*$BD81))</f>
        <v>20</v>
      </c>
      <c r="BJ81" s="7" t="n">
        <f aca="false">INT((($I81*$BE81)+$BC81)*$BF81)</f>
        <v>17</v>
      </c>
      <c r="BK81" s="14"/>
      <c r="BL81" s="7" t="n">
        <f aca="false">VLOOKUP($E81,Role!$A$2:$O$9,13,0)</f>
        <v>1.25</v>
      </c>
      <c r="BM81" s="7" t="n">
        <f aca="false">VLOOKUP($E81,Role!$A$2:$O$9,11,0)</f>
        <v>0.666</v>
      </c>
      <c r="BO81" s="7" t="n">
        <f aca="false">VLOOKUP($E81,Role!$A$2:$O$9,8,0)</f>
        <v>0.75</v>
      </c>
      <c r="BP81" s="7" t="n">
        <f aca="false">VLOOKUP($E81,Role!$A$2:$O$9,9,0)</f>
        <v>0.75</v>
      </c>
      <c r="BQ81" s="7" t="n">
        <f aca="false">VLOOKUP($E81,Role!$A$2:$O$9,10,0)</f>
        <v>0.5</v>
      </c>
    </row>
    <row r="82" customFormat="false" ht="12.8" hidden="false" customHeight="false" outlineLevel="0" collapsed="false">
      <c r="B82" s="2" t="n">
        <v>3</v>
      </c>
      <c r="C82" s="3" t="s">
        <v>63</v>
      </c>
      <c r="D82" s="1" t="s">
        <v>86</v>
      </c>
      <c r="E82" s="1" t="s">
        <v>70</v>
      </c>
      <c r="F82" s="1" t="s">
        <v>79</v>
      </c>
      <c r="G82" s="1" t="s">
        <v>80</v>
      </c>
      <c r="H82" s="4" t="n">
        <f aca="false">VLOOKUP($D82,Size!$A$2:$Z$14,6,0)</f>
        <v>4</v>
      </c>
      <c r="I82" s="13" t="n">
        <f aca="false">INT(($B82*$AZ82*$AX82*$BA82)+($B82*$AY82))</f>
        <v>3</v>
      </c>
      <c r="J82" s="4" t="n">
        <f aca="false">ROUND((($B82*$AT82)+($AV82*$AU82))*$AW82,0)</f>
        <v>1</v>
      </c>
      <c r="K82" s="4" t="n">
        <f aca="false">ROUND((($B82*$AP82)+($B82*$AQ82))*$AS82,0)</f>
        <v>1</v>
      </c>
      <c r="L82" s="4" t="n">
        <f aca="false">ROUND((($B82*$AM82)+($B82*$AN82))*$AO82,0)</f>
        <v>1</v>
      </c>
      <c r="M82" s="4" t="n">
        <f aca="false">ROUND((($B82*$AG82)+($B82*$AH82))*$AI82,0)</f>
        <v>1</v>
      </c>
      <c r="N82" s="4" t="n">
        <f aca="false">ROUND((($B82*$AJ82)+($B82*$AK82))*$AL82,0)</f>
        <v>1</v>
      </c>
      <c r="O82" s="4" t="n">
        <f aca="false">INT($BO82*$B82)</f>
        <v>2</v>
      </c>
      <c r="P82" s="4" t="n">
        <f aca="false">INT($BP82*$B82)</f>
        <v>2</v>
      </c>
      <c r="Q82" s="4" t="n">
        <f aca="false">INT($BQ82*$B82*$AR82)</f>
        <v>0</v>
      </c>
      <c r="R82" s="4" t="n">
        <f aca="false">IF($R$1="WT/G",INT(POWER($BH82*$BJ82*$BI82,0.333333)),0)+IF($R$1="WT/A",INT(($BH82+$BJ82+$BI82)/3),0)+IF($R$1="WT/A2",INT(($BJ82+$BI82)/2),0)+IF($R$1="WT/W",INT(($BH82+$BJ82+$BJ82+$BI82)/4),0)+IF($R$1="WT/W2",INT(($BH82+$BJ82+$BI82+$BI82)/4),0)+IF($R$1="WT/N",INT(MIN($BH82,$BJ82,$BI82)),0)+IF($R$1="WT/M",INT(MAX($BH82,$BJ82,$BI82)),0)+IF($R$1="WT/1",INT($BH82),0)+IF($R$1="WT/2",INT($BI82),0)+IF($R$1="WT/3",INT($BJ82),0)</f>
        <v>29</v>
      </c>
      <c r="S82" s="4" t="n">
        <f aca="false">INT((10+$M82)*$BL82)</f>
        <v>13</v>
      </c>
      <c r="T82" s="4" t="n">
        <f aca="false">INT($I82*$BM82*$BF82)</f>
        <v>1</v>
      </c>
      <c r="U82" s="2" t="n">
        <f aca="false">ROUND(MAX($J82,$L82)+(MIN($J82,$L82)*$X82),0)</f>
        <v>2</v>
      </c>
      <c r="V82" s="2" t="n">
        <f aca="false">MAX(1,INT(((MIN($I82:$J82)+(MAX($I82:$J82)*$H82*$Y82)))*$Z82))</f>
        <v>19</v>
      </c>
      <c r="X82" s="5" t="n">
        <f aca="false">VLOOKUP($E82,Role!$A$2:$O$9,14,0)</f>
        <v>1</v>
      </c>
      <c r="Y82" s="5" t="n">
        <f aca="false">VLOOKUP($E82,Role!$A$2:$O$9,15,0)</f>
        <v>1</v>
      </c>
      <c r="Z82" s="5" t="n">
        <f aca="false">VLOOKUP($G82,Movement!$A$2:$C$7,3,0)</f>
        <v>1.5</v>
      </c>
      <c r="AB82" s="5" t="n">
        <f aca="false">INT(5+(($H82-1)/3))</f>
        <v>6</v>
      </c>
      <c r="AC82" s="5" t="n">
        <f aca="false">IF($AB82&lt;$I82,$I82-MAX($AB82,$B82),0)</f>
        <v>0</v>
      </c>
      <c r="AD82" s="5" t="n">
        <f aca="false">(5-ROUND(($H82-1)/3,0))</f>
        <v>4</v>
      </c>
      <c r="AE82" s="5" t="n">
        <f aca="false">IF($AD82&lt;$J82,$J82-MAX($AD82,$B82),0)</f>
        <v>0</v>
      </c>
      <c r="AG82" s="6" t="n">
        <f aca="false">VLOOKUP($F82,Category!$A$2:$AZ$20,24,0)</f>
        <v>0</v>
      </c>
      <c r="AH82" s="6" t="n">
        <f aca="false">VLOOKUP($F82,Category!$A$2:$AZ$20,26,0)</f>
        <v>0.333333333333333</v>
      </c>
      <c r="AI82" s="6" t="n">
        <f aca="false">VLOOKUP($E82,Role!$A$2:$O$9,6,0)</f>
        <v>0.666</v>
      </c>
      <c r="AJ82" s="6" t="n">
        <f aca="false">VLOOKUP($F82,Category!$A$2:$AZ$20,19,0)</f>
        <v>0.0909090909090909</v>
      </c>
      <c r="AK82" s="6" t="n">
        <f aca="false">VLOOKUP($F82,Category!$A$2:$AZ$20,21,0)</f>
        <v>0.545454545454545</v>
      </c>
      <c r="AL82" s="6" t="n">
        <f aca="false">VLOOKUP($E82,Role!$A$2:$O$9,7,0)</f>
        <v>0.666</v>
      </c>
      <c r="AM82" s="6" t="n">
        <f aca="false">VLOOKUP($F82,Category!$A$2:$AZ$20,19,0)</f>
        <v>0.0909090909090909</v>
      </c>
      <c r="AN82" s="6" t="n">
        <f aca="false">VLOOKUP($F82,Category!$A$2:$AZ$20,21,0)</f>
        <v>0.545454545454545</v>
      </c>
      <c r="AO82" s="6" t="n">
        <f aca="false">VLOOKUP($E82,Role!$A$2:$O$9,5,0)</f>
        <v>0.666</v>
      </c>
      <c r="AP82" s="6" t="n">
        <f aca="false">VLOOKUP($F82,Category!$A$2:$AZ$20,9,0)</f>
        <v>0</v>
      </c>
      <c r="AQ82" s="6" t="n">
        <f aca="false">VLOOKUP($F82,Category!$A$2:$AZ$20,11,0)</f>
        <v>0.555555555555556</v>
      </c>
      <c r="AR82" s="6" t="n">
        <f aca="false">VLOOKUP($F82,Category!$A$2:$AZ$20,10,0)</f>
        <v>0.555555555555556</v>
      </c>
      <c r="AS82" s="6" t="n">
        <f aca="false">VLOOKUP($E82,Role!$A$2:$O$9,4,0)</f>
        <v>0.666</v>
      </c>
      <c r="AT82" s="7" t="n">
        <f aca="false">VLOOKUP($F82,Category!$A$2:$AZ$20,14,0)</f>
        <v>0.416666666666667</v>
      </c>
      <c r="AU82" s="7" t="n">
        <f aca="false">VLOOKUP($F82,Category!$A$2:$AZ$20,16,0)</f>
        <v>0.25</v>
      </c>
      <c r="AV82" s="7" t="n">
        <f aca="false">VLOOKUP($D82,Size!$A$2:$Z$14,17,0)</f>
        <v>2</v>
      </c>
      <c r="AW82" s="7" t="n">
        <f aca="false">VLOOKUP($E82,Role!$A$2:$O$9,3,0)</f>
        <v>0.666</v>
      </c>
      <c r="AX82" s="7" t="n">
        <f aca="false">VLOOKUP($F82,Category!$A$2:$AZ$20,29,0)</f>
        <v>0.333333333333333</v>
      </c>
      <c r="AY82" s="7" t="n">
        <f aca="false">VLOOKUP($F82,Category!$A$2:$AZ$20,31,0)</f>
        <v>0.333333333333333</v>
      </c>
      <c r="AZ82" s="7" t="n">
        <f aca="false">VLOOKUP($D82,Size!$A$2:$Z$14,16,0)</f>
        <v>4</v>
      </c>
      <c r="BA82" s="7" t="n">
        <f aca="false">VLOOKUP($E82,Role!$A$2:$O$9,2,0)</f>
        <v>0.666</v>
      </c>
      <c r="BC82" s="7" t="n">
        <f aca="false">VLOOKUP($D82,Size!$A$2:$Z$14,19,0)</f>
        <v>16</v>
      </c>
      <c r="BD82" s="7" t="n">
        <f aca="false">VLOOKUP($D82,Size!$A$2:$Z$14,20,0)</f>
        <v>3</v>
      </c>
      <c r="BE82" s="7" t="n">
        <f aca="false">VLOOKUP($E82,Role!$A$2:$O$9,12,0)</f>
        <v>1.25</v>
      </c>
      <c r="BF82" s="7" t="n">
        <f aca="false">VLOOKUP($C82,Type!$A$2:$B$4,2,0)</f>
        <v>1</v>
      </c>
      <c r="BG82" s="7" t="n">
        <f aca="false">VLOOKUP($D82,Size!$A$2:$Z$14,18,0)</f>
        <v>25.3004131186338</v>
      </c>
      <c r="BH82" s="7" t="n">
        <f aca="false">INT($BF82*$BG82*$BE82*$B82/2)</f>
        <v>47</v>
      </c>
      <c r="BI82" s="7" t="n">
        <f aca="false">INT(($BC82*$BF82)+($I82*$BD82))</f>
        <v>25</v>
      </c>
      <c r="BJ82" s="7" t="n">
        <f aca="false">INT((($I82*$BE82)+$BC82)*$BF82)</f>
        <v>19</v>
      </c>
      <c r="BK82" s="14"/>
      <c r="BL82" s="7" t="n">
        <f aca="false">VLOOKUP($E82,Role!$A$2:$O$9,13,0)</f>
        <v>1.25</v>
      </c>
      <c r="BM82" s="7" t="n">
        <f aca="false">VLOOKUP($E82,Role!$A$2:$O$9,11,0)</f>
        <v>0.666</v>
      </c>
      <c r="BO82" s="7" t="n">
        <f aca="false">VLOOKUP($E82,Role!$A$2:$O$9,8,0)</f>
        <v>0.75</v>
      </c>
      <c r="BP82" s="7" t="n">
        <f aca="false">VLOOKUP($E82,Role!$A$2:$O$9,9,0)</f>
        <v>0.75</v>
      </c>
      <c r="BQ82" s="7" t="n">
        <f aca="false">VLOOKUP($E82,Role!$A$2:$O$9,10,0)</f>
        <v>0.5</v>
      </c>
    </row>
    <row r="83" customFormat="false" ht="12.8" hidden="false" customHeight="false" outlineLevel="0" collapsed="false">
      <c r="B83" s="2" t="n">
        <v>3</v>
      </c>
      <c r="C83" s="3" t="s">
        <v>63</v>
      </c>
      <c r="D83" s="1" t="s">
        <v>87</v>
      </c>
      <c r="E83" s="1" t="s">
        <v>70</v>
      </c>
      <c r="F83" s="1" t="s">
        <v>79</v>
      </c>
      <c r="G83" s="1" t="s">
        <v>80</v>
      </c>
      <c r="H83" s="4" t="n">
        <f aca="false">VLOOKUP($D83,Size!$A$2:$Z$14,6,0)</f>
        <v>5</v>
      </c>
      <c r="I83" s="13" t="n">
        <f aca="false">INT(($B83*$AZ83*$AX83*$BA83)+($B83*$AY83))</f>
        <v>4</v>
      </c>
      <c r="J83" s="4" t="n">
        <f aca="false">ROUND((($B83*$AT83)+($AV83*$AU83))*$AW83,0)</f>
        <v>1</v>
      </c>
      <c r="K83" s="4" t="n">
        <f aca="false">ROUND((($B83*$AP83)+($B83*$AQ83))*$AS83,0)</f>
        <v>1</v>
      </c>
      <c r="L83" s="4" t="n">
        <f aca="false">ROUND((($B83*$AM83)+($B83*$AN83))*$AO83,0)</f>
        <v>1</v>
      </c>
      <c r="M83" s="4" t="n">
        <f aca="false">ROUND((($B83*$AG83)+($B83*$AH83))*$AI83,0)</f>
        <v>1</v>
      </c>
      <c r="N83" s="4" t="n">
        <f aca="false">ROUND((($B83*$AJ83)+($B83*$AK83))*$AL83,0)</f>
        <v>1</v>
      </c>
      <c r="O83" s="4" t="n">
        <f aca="false">INT($BO83*$B83)</f>
        <v>2</v>
      </c>
      <c r="P83" s="4" t="n">
        <f aca="false">INT($BP83*$B83)</f>
        <v>2</v>
      </c>
      <c r="Q83" s="4" t="n">
        <f aca="false">INT($BQ83*$B83*$AR83)</f>
        <v>0</v>
      </c>
      <c r="R83" s="4" t="n">
        <f aca="false">IF($R$1="WT/G",INT(POWER($BH83*$BJ83*$BI83,0.333333)),0)+IF($R$1="WT/A",INT(($BH83+$BJ83+$BI83)/3),0)+IF($R$1="WT/A2",INT(($BJ83+$BI83)/2),0)+IF($R$1="WT/W",INT(($BH83+$BJ83+$BJ83+$BI83)/4),0)+IF($R$1="WT/W2",INT(($BH83+$BJ83+$BI83+$BI83)/4),0)+IF($R$1="WT/N",INT(MIN($BH83,$BJ83,$BI83)),0)+IF($R$1="WT/M",INT(MAX($BH83,$BJ83,$BI83)),0)+IF($R$1="WT/1",INT($BH83),0)+IF($R$1="WT/2",INT($BI83),0)+IF($R$1="WT/3",INT($BJ83),0)</f>
        <v>37</v>
      </c>
      <c r="S83" s="4" t="n">
        <f aca="false">INT((10+$M83)*$BL83)</f>
        <v>13</v>
      </c>
      <c r="T83" s="4" t="n">
        <f aca="false">INT($I83*$BM83*$BF83)</f>
        <v>2</v>
      </c>
      <c r="U83" s="2" t="n">
        <f aca="false">ROUND(MAX($J83,$L83)+(MIN($J83,$L83)*$X83),0)</f>
        <v>2</v>
      </c>
      <c r="V83" s="2" t="n">
        <f aca="false">MAX(1,INT(((MIN($I83:$J83)+(MAX($I83:$J83)*$H83*$Y83)))*$Z83))</f>
        <v>31</v>
      </c>
      <c r="X83" s="5" t="n">
        <f aca="false">VLOOKUP($E83,Role!$A$2:$O$9,14,0)</f>
        <v>1</v>
      </c>
      <c r="Y83" s="5" t="n">
        <f aca="false">VLOOKUP($E83,Role!$A$2:$O$9,15,0)</f>
        <v>1</v>
      </c>
      <c r="Z83" s="5" t="n">
        <f aca="false">VLOOKUP($G83,Movement!$A$2:$C$7,3,0)</f>
        <v>1.5</v>
      </c>
      <c r="AB83" s="5" t="n">
        <f aca="false">INT(5+(($H83-1)/3))</f>
        <v>6</v>
      </c>
      <c r="AC83" s="5" t="n">
        <f aca="false">IF($AB83&lt;$I83,$I83-MAX($AB83,$B83),0)</f>
        <v>0</v>
      </c>
      <c r="AD83" s="5" t="n">
        <f aca="false">(5-ROUND(($H83-1)/3,0))</f>
        <v>4</v>
      </c>
      <c r="AE83" s="5" t="n">
        <f aca="false">IF($AD83&lt;$J83,$J83-MAX($AD83,$B83),0)</f>
        <v>0</v>
      </c>
      <c r="AG83" s="6" t="n">
        <f aca="false">VLOOKUP($F83,Category!$A$2:$AZ$20,24,0)</f>
        <v>0</v>
      </c>
      <c r="AH83" s="6" t="n">
        <f aca="false">VLOOKUP($F83,Category!$A$2:$AZ$20,26,0)</f>
        <v>0.333333333333333</v>
      </c>
      <c r="AI83" s="6" t="n">
        <f aca="false">VLOOKUP($E83,Role!$A$2:$O$9,6,0)</f>
        <v>0.666</v>
      </c>
      <c r="AJ83" s="6" t="n">
        <f aca="false">VLOOKUP($F83,Category!$A$2:$AZ$20,19,0)</f>
        <v>0.0909090909090909</v>
      </c>
      <c r="AK83" s="6" t="n">
        <f aca="false">VLOOKUP($F83,Category!$A$2:$AZ$20,21,0)</f>
        <v>0.545454545454545</v>
      </c>
      <c r="AL83" s="6" t="n">
        <f aca="false">VLOOKUP($E83,Role!$A$2:$O$9,7,0)</f>
        <v>0.666</v>
      </c>
      <c r="AM83" s="6" t="n">
        <f aca="false">VLOOKUP($F83,Category!$A$2:$AZ$20,19,0)</f>
        <v>0.0909090909090909</v>
      </c>
      <c r="AN83" s="6" t="n">
        <f aca="false">VLOOKUP($F83,Category!$A$2:$AZ$20,21,0)</f>
        <v>0.545454545454545</v>
      </c>
      <c r="AO83" s="6" t="n">
        <f aca="false">VLOOKUP($E83,Role!$A$2:$O$9,5,0)</f>
        <v>0.666</v>
      </c>
      <c r="AP83" s="6" t="n">
        <f aca="false">VLOOKUP($F83,Category!$A$2:$AZ$20,9,0)</f>
        <v>0</v>
      </c>
      <c r="AQ83" s="6" t="n">
        <f aca="false">VLOOKUP($F83,Category!$A$2:$AZ$20,11,0)</f>
        <v>0.555555555555556</v>
      </c>
      <c r="AR83" s="6" t="n">
        <f aca="false">VLOOKUP($F83,Category!$A$2:$AZ$20,10,0)</f>
        <v>0.555555555555556</v>
      </c>
      <c r="AS83" s="6" t="n">
        <f aca="false">VLOOKUP($E83,Role!$A$2:$O$9,4,0)</f>
        <v>0.666</v>
      </c>
      <c r="AT83" s="7" t="n">
        <f aca="false">VLOOKUP($F83,Category!$A$2:$AZ$20,14,0)</f>
        <v>0.416666666666667</v>
      </c>
      <c r="AU83" s="7" t="n">
        <f aca="false">VLOOKUP($F83,Category!$A$2:$AZ$20,16,0)</f>
        <v>0.25</v>
      </c>
      <c r="AV83" s="7" t="n">
        <f aca="false">VLOOKUP($D83,Size!$A$2:$Z$14,17,0)</f>
        <v>2</v>
      </c>
      <c r="AW83" s="7" t="n">
        <f aca="false">VLOOKUP($E83,Role!$A$2:$O$9,3,0)</f>
        <v>0.666</v>
      </c>
      <c r="AX83" s="7" t="n">
        <f aca="false">VLOOKUP($F83,Category!$A$2:$AZ$20,29,0)</f>
        <v>0.333333333333333</v>
      </c>
      <c r="AY83" s="7" t="n">
        <f aca="false">VLOOKUP($F83,Category!$A$2:$AZ$20,31,0)</f>
        <v>0.333333333333333</v>
      </c>
      <c r="AZ83" s="7" t="n">
        <f aca="false">VLOOKUP($D83,Size!$A$2:$Z$14,16,0)</f>
        <v>5</v>
      </c>
      <c r="BA83" s="7" t="n">
        <f aca="false">VLOOKUP($E83,Role!$A$2:$O$9,2,0)</f>
        <v>0.666</v>
      </c>
      <c r="BC83" s="7" t="n">
        <f aca="false">VLOOKUP($D83,Size!$A$2:$Z$14,19,0)</f>
        <v>18</v>
      </c>
      <c r="BD83" s="7" t="n">
        <f aca="false">VLOOKUP($D83,Size!$A$2:$Z$14,20,0)</f>
        <v>4</v>
      </c>
      <c r="BE83" s="7" t="n">
        <f aca="false">VLOOKUP($E83,Role!$A$2:$O$9,12,0)</f>
        <v>1.25</v>
      </c>
      <c r="BF83" s="7" t="n">
        <f aca="false">VLOOKUP($C83,Type!$A$2:$B$4,2,0)</f>
        <v>1</v>
      </c>
      <c r="BG83" s="7" t="n">
        <f aca="false">VLOOKUP($D83,Size!$A$2:$Z$14,18,0)</f>
        <v>31.2018765062488</v>
      </c>
      <c r="BH83" s="7" t="n">
        <f aca="false">INT($BF83*$BG83*$BE83*$B83/2)</f>
        <v>58</v>
      </c>
      <c r="BI83" s="7" t="n">
        <f aca="false">INT(($BC83*$BF83)+($I83*$BD83))</f>
        <v>34</v>
      </c>
      <c r="BJ83" s="7" t="n">
        <f aca="false">INT((($I83*$BE83)+$BC83)*$BF83)</f>
        <v>23</v>
      </c>
      <c r="BK83" s="14"/>
      <c r="BL83" s="7" t="n">
        <f aca="false">VLOOKUP($E83,Role!$A$2:$O$9,13,0)</f>
        <v>1.25</v>
      </c>
      <c r="BM83" s="7" t="n">
        <f aca="false">VLOOKUP($E83,Role!$A$2:$O$9,11,0)</f>
        <v>0.666</v>
      </c>
      <c r="BO83" s="7" t="n">
        <f aca="false">VLOOKUP($E83,Role!$A$2:$O$9,8,0)</f>
        <v>0.75</v>
      </c>
      <c r="BP83" s="7" t="n">
        <f aca="false">VLOOKUP($E83,Role!$A$2:$O$9,9,0)</f>
        <v>0.75</v>
      </c>
      <c r="BQ83" s="7" t="n">
        <f aca="false">VLOOKUP($E83,Role!$A$2:$O$9,10,0)</f>
        <v>0.5</v>
      </c>
    </row>
    <row r="84" customFormat="false" ht="12.8" hidden="false" customHeight="false" outlineLevel="0" collapsed="false">
      <c r="B84" s="2" t="n">
        <v>3</v>
      </c>
      <c r="C84" s="3" t="s">
        <v>63</v>
      </c>
      <c r="D84" s="1" t="s">
        <v>88</v>
      </c>
      <c r="E84" s="1" t="s">
        <v>70</v>
      </c>
      <c r="F84" s="1" t="s">
        <v>79</v>
      </c>
      <c r="G84" s="1" t="s">
        <v>80</v>
      </c>
      <c r="H84" s="4" t="n">
        <f aca="false">VLOOKUP($D84,Size!$A$2:$Z$14,6,0)</f>
        <v>6</v>
      </c>
      <c r="I84" s="13" t="n">
        <f aca="false">INT(($B84*$AZ84*$AX84*$BA84)+($B84*$AY84))</f>
        <v>4</v>
      </c>
      <c r="J84" s="4" t="n">
        <f aca="false">ROUND((($B84*$AT84)+($AV84*$AU84))*$AW84,0)</f>
        <v>1</v>
      </c>
      <c r="K84" s="4" t="n">
        <f aca="false">ROUND((($B84*$AP84)+($B84*$AQ84))*$AS84,0)</f>
        <v>1</v>
      </c>
      <c r="L84" s="4" t="n">
        <f aca="false">ROUND((($B84*$AM84)+($B84*$AN84))*$AO84,0)</f>
        <v>1</v>
      </c>
      <c r="M84" s="4" t="n">
        <f aca="false">ROUND((($B84*$AG84)+($B84*$AH84))*$AI84,0)</f>
        <v>1</v>
      </c>
      <c r="N84" s="4" t="n">
        <f aca="false">ROUND((($B84*$AJ84)+($B84*$AK84))*$AL84,0)</f>
        <v>1</v>
      </c>
      <c r="O84" s="4" t="n">
        <f aca="false">INT($BO84*$B84)</f>
        <v>2</v>
      </c>
      <c r="P84" s="4" t="n">
        <f aca="false">INT($BP84*$B84)</f>
        <v>2</v>
      </c>
      <c r="Q84" s="4" t="n">
        <f aca="false">INT($BQ84*$B84*$AR84)</f>
        <v>0</v>
      </c>
      <c r="R84" s="4" t="n">
        <f aca="false">IF($R$1="WT/G",INT(POWER($BH84*$BJ84*$BI84,0.333333)),0)+IF($R$1="WT/A",INT(($BH84+$BJ84+$BI84)/3),0)+IF($R$1="WT/A2",INT(($BJ84+$BI84)/2),0)+IF($R$1="WT/W",INT(($BH84+$BJ84+$BJ84+$BI84)/4),0)+IF($R$1="WT/W2",INT(($BH84+$BJ84+$BI84+$BI84)/4),0)+IF($R$1="WT/N",INT(MIN($BH84,$BJ84,$BI84)),0)+IF($R$1="WT/M",INT(MAX($BH84,$BJ84,$BI84)),0)+IF($R$1="WT/1",INT($BH84),0)+IF($R$1="WT/2",INT($BI84),0)+IF($R$1="WT/3",INT($BJ84),0)</f>
        <v>44</v>
      </c>
      <c r="S84" s="4" t="n">
        <f aca="false">INT((10+$M84)*$BL84)</f>
        <v>13</v>
      </c>
      <c r="T84" s="4" t="n">
        <f aca="false">INT($I84*$BM84*$BF84)</f>
        <v>2</v>
      </c>
      <c r="U84" s="2" t="n">
        <f aca="false">ROUND(MAX($J84,$L84)+(MIN($J84,$L84)*$X84),0)</f>
        <v>2</v>
      </c>
      <c r="V84" s="2" t="n">
        <f aca="false">MAX(1,INT(((MIN($I84:$J84)+(MAX($I84:$J84)*$H84*$Y84)))*$Z84))</f>
        <v>37</v>
      </c>
      <c r="X84" s="5" t="n">
        <f aca="false">VLOOKUP($E84,Role!$A$2:$O$9,14,0)</f>
        <v>1</v>
      </c>
      <c r="Y84" s="5" t="n">
        <f aca="false">VLOOKUP($E84,Role!$A$2:$O$9,15,0)</f>
        <v>1</v>
      </c>
      <c r="Z84" s="5" t="n">
        <f aca="false">VLOOKUP($G84,Movement!$A$2:$C$7,3,0)</f>
        <v>1.5</v>
      </c>
      <c r="AB84" s="5" t="n">
        <f aca="false">INT(5+(($H84-1)/3))</f>
        <v>6</v>
      </c>
      <c r="AC84" s="5" t="n">
        <f aca="false">IF($AB84&lt;$I84,$I84-MAX($AB84,$B84),0)</f>
        <v>0</v>
      </c>
      <c r="AD84" s="5" t="n">
        <f aca="false">(5-ROUND(($H84-1)/3,0))</f>
        <v>3</v>
      </c>
      <c r="AE84" s="5" t="n">
        <f aca="false">IF($AD84&lt;$J84,$J84-MAX($AD84,$B84),0)</f>
        <v>0</v>
      </c>
      <c r="AG84" s="6" t="n">
        <f aca="false">VLOOKUP($F84,Category!$A$2:$AZ$20,24,0)</f>
        <v>0</v>
      </c>
      <c r="AH84" s="6" t="n">
        <f aca="false">VLOOKUP($F84,Category!$A$2:$AZ$20,26,0)</f>
        <v>0.333333333333333</v>
      </c>
      <c r="AI84" s="6" t="n">
        <f aca="false">VLOOKUP($E84,Role!$A$2:$O$9,6,0)</f>
        <v>0.666</v>
      </c>
      <c r="AJ84" s="6" t="n">
        <f aca="false">VLOOKUP($F84,Category!$A$2:$AZ$20,19,0)</f>
        <v>0.0909090909090909</v>
      </c>
      <c r="AK84" s="6" t="n">
        <f aca="false">VLOOKUP($F84,Category!$A$2:$AZ$20,21,0)</f>
        <v>0.545454545454545</v>
      </c>
      <c r="AL84" s="6" t="n">
        <f aca="false">VLOOKUP($E84,Role!$A$2:$O$9,7,0)</f>
        <v>0.666</v>
      </c>
      <c r="AM84" s="6" t="n">
        <f aca="false">VLOOKUP($F84,Category!$A$2:$AZ$20,19,0)</f>
        <v>0.0909090909090909</v>
      </c>
      <c r="AN84" s="6" t="n">
        <f aca="false">VLOOKUP($F84,Category!$A$2:$AZ$20,21,0)</f>
        <v>0.545454545454545</v>
      </c>
      <c r="AO84" s="6" t="n">
        <f aca="false">VLOOKUP($E84,Role!$A$2:$O$9,5,0)</f>
        <v>0.666</v>
      </c>
      <c r="AP84" s="6" t="n">
        <f aca="false">VLOOKUP($F84,Category!$A$2:$AZ$20,9,0)</f>
        <v>0</v>
      </c>
      <c r="AQ84" s="6" t="n">
        <f aca="false">VLOOKUP($F84,Category!$A$2:$AZ$20,11,0)</f>
        <v>0.555555555555556</v>
      </c>
      <c r="AR84" s="6" t="n">
        <f aca="false">VLOOKUP($F84,Category!$A$2:$AZ$20,10,0)</f>
        <v>0.555555555555556</v>
      </c>
      <c r="AS84" s="6" t="n">
        <f aca="false">VLOOKUP($E84,Role!$A$2:$O$9,4,0)</f>
        <v>0.666</v>
      </c>
      <c r="AT84" s="7" t="n">
        <f aca="false">VLOOKUP($F84,Category!$A$2:$AZ$20,14,0)</f>
        <v>0.416666666666667</v>
      </c>
      <c r="AU84" s="7" t="n">
        <f aca="false">VLOOKUP($F84,Category!$A$2:$AZ$20,16,0)</f>
        <v>0.25</v>
      </c>
      <c r="AV84" s="7" t="n">
        <f aca="false">VLOOKUP($D84,Size!$A$2:$Z$14,17,0)</f>
        <v>2</v>
      </c>
      <c r="AW84" s="7" t="n">
        <f aca="false">VLOOKUP($E84,Role!$A$2:$O$9,3,0)</f>
        <v>0.666</v>
      </c>
      <c r="AX84" s="7" t="n">
        <f aca="false">VLOOKUP($F84,Category!$A$2:$AZ$20,29,0)</f>
        <v>0.333333333333333</v>
      </c>
      <c r="AY84" s="7" t="n">
        <f aca="false">VLOOKUP($F84,Category!$A$2:$AZ$20,31,0)</f>
        <v>0.333333333333333</v>
      </c>
      <c r="AZ84" s="7" t="n">
        <f aca="false">VLOOKUP($D84,Size!$A$2:$Z$14,16,0)</f>
        <v>5</v>
      </c>
      <c r="BA84" s="7" t="n">
        <f aca="false">VLOOKUP($E84,Role!$A$2:$O$9,2,0)</f>
        <v>0.666</v>
      </c>
      <c r="BC84" s="7" t="n">
        <f aca="false">VLOOKUP($D84,Size!$A$2:$Z$14,19,0)</f>
        <v>20</v>
      </c>
      <c r="BD84" s="7" t="n">
        <f aca="false">VLOOKUP($D84,Size!$A$2:$Z$14,20,0)</f>
        <v>5</v>
      </c>
      <c r="BE84" s="7" t="n">
        <f aca="false">VLOOKUP($E84,Role!$A$2:$O$9,12,0)</f>
        <v>1.25</v>
      </c>
      <c r="BF84" s="7" t="n">
        <f aca="false">VLOOKUP($C84,Type!$A$2:$B$4,2,0)</f>
        <v>1</v>
      </c>
      <c r="BG84" s="7" t="n">
        <f aca="false">VLOOKUP($D84,Size!$A$2:$Z$14,18,0)</f>
        <v>38.7177346253629</v>
      </c>
      <c r="BH84" s="7" t="n">
        <f aca="false">INT($BF84*$BG84*$BE84*$B84/2)</f>
        <v>72</v>
      </c>
      <c r="BI84" s="7" t="n">
        <f aca="false">INT(($BC84*$BF84)+($I84*$BD84))</f>
        <v>40</v>
      </c>
      <c r="BJ84" s="7" t="n">
        <f aca="false">INT((($I84*$BE84)+$BC84)*$BF84)</f>
        <v>25</v>
      </c>
      <c r="BK84" s="14"/>
      <c r="BL84" s="7" t="n">
        <f aca="false">VLOOKUP($E84,Role!$A$2:$O$9,13,0)</f>
        <v>1.25</v>
      </c>
      <c r="BM84" s="7" t="n">
        <f aca="false">VLOOKUP($E84,Role!$A$2:$O$9,11,0)</f>
        <v>0.666</v>
      </c>
      <c r="BO84" s="7" t="n">
        <f aca="false">VLOOKUP($E84,Role!$A$2:$O$9,8,0)</f>
        <v>0.75</v>
      </c>
      <c r="BP84" s="7" t="n">
        <f aca="false">VLOOKUP($E84,Role!$A$2:$O$9,9,0)</f>
        <v>0.75</v>
      </c>
      <c r="BQ84" s="7" t="n">
        <f aca="false">VLOOKUP($E84,Role!$A$2:$O$9,10,0)</f>
        <v>0.5</v>
      </c>
    </row>
    <row r="85" customFormat="false" ht="12.8" hidden="false" customHeight="false" outlineLevel="0" collapsed="false">
      <c r="B85" s="2" t="n">
        <v>3</v>
      </c>
      <c r="C85" s="3" t="s">
        <v>63</v>
      </c>
      <c r="D85" s="1" t="s">
        <v>89</v>
      </c>
      <c r="E85" s="1" t="s">
        <v>70</v>
      </c>
      <c r="F85" s="1" t="s">
        <v>79</v>
      </c>
      <c r="G85" s="1" t="s">
        <v>80</v>
      </c>
      <c r="H85" s="4" t="n">
        <f aca="false">VLOOKUP($D85,Size!$A$2:$Z$14,6,0)</f>
        <v>7</v>
      </c>
      <c r="I85" s="13" t="n">
        <f aca="false">INT(($B85*$AZ85*$AX85*$BA85)+($B85*$AY85))</f>
        <v>4</v>
      </c>
      <c r="J85" s="4" t="n">
        <f aca="false">ROUND((($B85*$AT85)+($AV85*$AU85))*$AW85,0)</f>
        <v>1</v>
      </c>
      <c r="K85" s="4" t="n">
        <f aca="false">ROUND((($B85*$AP85)+($B85*$AQ85))*$AS85,0)</f>
        <v>1</v>
      </c>
      <c r="L85" s="4" t="n">
        <f aca="false">ROUND((($B85*$AM85)+($B85*$AN85))*$AO85,0)</f>
        <v>1</v>
      </c>
      <c r="M85" s="4" t="n">
        <f aca="false">ROUND((($B85*$AG85)+($B85*$AH85))*$AI85,0)</f>
        <v>1</v>
      </c>
      <c r="N85" s="4" t="n">
        <f aca="false">ROUND((($B85*$AJ85)+($B85*$AK85))*$AL85,0)</f>
        <v>1</v>
      </c>
      <c r="O85" s="4" t="n">
        <f aca="false">INT($BO85*$B85)</f>
        <v>2</v>
      </c>
      <c r="P85" s="4" t="n">
        <f aca="false">INT($BP85*$B85)</f>
        <v>2</v>
      </c>
      <c r="Q85" s="4" t="n">
        <f aca="false">INT($BQ85*$B85*$AR85)</f>
        <v>0</v>
      </c>
      <c r="R85" s="4" t="n">
        <f aca="false">IF($R$1="WT/G",INT(POWER($BH85*$BJ85*$BI85,0.333333)),0)+IF($R$1="WT/A",INT(($BH85+$BJ85+$BI85)/3),0)+IF($R$1="WT/A2",INT(($BJ85+$BI85)/2),0)+IF($R$1="WT/W",INT(($BH85+$BJ85+$BJ85+$BI85)/4),0)+IF($R$1="WT/W2",INT(($BH85+$BJ85+$BI85+$BI85)/4),0)+IF($R$1="WT/N",INT(MIN($BH85,$BJ85,$BI85)),0)+IF($R$1="WT/M",INT(MAX($BH85,$BJ85,$BI85)),0)+IF($R$1="WT/1",INT($BH85),0)+IF($R$1="WT/2",INT($BI85),0)+IF($R$1="WT/3",INT($BJ85),0)</f>
        <v>51</v>
      </c>
      <c r="S85" s="4" t="n">
        <f aca="false">INT((10+$M85)*$BL85)</f>
        <v>13</v>
      </c>
      <c r="T85" s="4" t="n">
        <f aca="false">INT($I85*$BM85*$BF85)</f>
        <v>2</v>
      </c>
      <c r="U85" s="2" t="n">
        <f aca="false">ROUND(MAX($J85,$L85)+(MIN($J85,$L85)*$X85),0)</f>
        <v>2</v>
      </c>
      <c r="V85" s="2" t="n">
        <f aca="false">MAX(1,INT(((MIN($I85:$J85)+(MAX($I85:$J85)*$H85*$Y85)))*$Z85))</f>
        <v>43</v>
      </c>
      <c r="X85" s="5" t="n">
        <f aca="false">VLOOKUP($E85,Role!$A$2:$O$9,14,0)</f>
        <v>1</v>
      </c>
      <c r="Y85" s="5" t="n">
        <f aca="false">VLOOKUP($E85,Role!$A$2:$O$9,15,0)</f>
        <v>1</v>
      </c>
      <c r="Z85" s="5" t="n">
        <f aca="false">VLOOKUP($G85,Movement!$A$2:$C$7,3,0)</f>
        <v>1.5</v>
      </c>
      <c r="AB85" s="5" t="n">
        <f aca="false">INT(5+(($H85-1)/3))</f>
        <v>7</v>
      </c>
      <c r="AC85" s="5" t="n">
        <f aca="false">IF($AB85&lt;$I85,$I85-MAX($AB85,$B85),0)</f>
        <v>0</v>
      </c>
      <c r="AD85" s="5" t="n">
        <f aca="false">(5-ROUND(($H85-1)/3,0))</f>
        <v>3</v>
      </c>
      <c r="AE85" s="5" t="n">
        <f aca="false">IF($AD85&lt;$J85,$J85-MAX($AD85,$B85),0)</f>
        <v>0</v>
      </c>
      <c r="AG85" s="6" t="n">
        <f aca="false">VLOOKUP($F85,Category!$A$2:$AZ$20,24,0)</f>
        <v>0</v>
      </c>
      <c r="AH85" s="6" t="n">
        <f aca="false">VLOOKUP($F85,Category!$A$2:$AZ$20,26,0)</f>
        <v>0.333333333333333</v>
      </c>
      <c r="AI85" s="6" t="n">
        <f aca="false">VLOOKUP($E85,Role!$A$2:$O$9,6,0)</f>
        <v>0.666</v>
      </c>
      <c r="AJ85" s="6" t="n">
        <f aca="false">VLOOKUP($F85,Category!$A$2:$AZ$20,19,0)</f>
        <v>0.0909090909090909</v>
      </c>
      <c r="AK85" s="6" t="n">
        <f aca="false">VLOOKUP($F85,Category!$A$2:$AZ$20,21,0)</f>
        <v>0.545454545454545</v>
      </c>
      <c r="AL85" s="6" t="n">
        <f aca="false">VLOOKUP($E85,Role!$A$2:$O$9,7,0)</f>
        <v>0.666</v>
      </c>
      <c r="AM85" s="6" t="n">
        <f aca="false">VLOOKUP($F85,Category!$A$2:$AZ$20,19,0)</f>
        <v>0.0909090909090909</v>
      </c>
      <c r="AN85" s="6" t="n">
        <f aca="false">VLOOKUP($F85,Category!$A$2:$AZ$20,21,0)</f>
        <v>0.545454545454545</v>
      </c>
      <c r="AO85" s="6" t="n">
        <f aca="false">VLOOKUP($E85,Role!$A$2:$O$9,5,0)</f>
        <v>0.666</v>
      </c>
      <c r="AP85" s="6" t="n">
        <f aca="false">VLOOKUP($F85,Category!$A$2:$AZ$20,9,0)</f>
        <v>0</v>
      </c>
      <c r="AQ85" s="6" t="n">
        <f aca="false">VLOOKUP($F85,Category!$A$2:$AZ$20,11,0)</f>
        <v>0.555555555555556</v>
      </c>
      <c r="AR85" s="6" t="n">
        <f aca="false">VLOOKUP($F85,Category!$A$2:$AZ$20,10,0)</f>
        <v>0.555555555555556</v>
      </c>
      <c r="AS85" s="6" t="n">
        <f aca="false">VLOOKUP($E85,Role!$A$2:$O$9,4,0)</f>
        <v>0.666</v>
      </c>
      <c r="AT85" s="7" t="n">
        <f aca="false">VLOOKUP($F85,Category!$A$2:$AZ$20,14,0)</f>
        <v>0.416666666666667</v>
      </c>
      <c r="AU85" s="7" t="n">
        <f aca="false">VLOOKUP($F85,Category!$A$2:$AZ$20,16,0)</f>
        <v>0.25</v>
      </c>
      <c r="AV85" s="7" t="n">
        <f aca="false">VLOOKUP($D85,Size!$A$2:$Z$14,17,0)</f>
        <v>2</v>
      </c>
      <c r="AW85" s="7" t="n">
        <f aca="false">VLOOKUP($E85,Role!$A$2:$O$9,3,0)</f>
        <v>0.666</v>
      </c>
      <c r="AX85" s="7" t="n">
        <f aca="false">VLOOKUP($F85,Category!$A$2:$AZ$20,29,0)</f>
        <v>0.333333333333333</v>
      </c>
      <c r="AY85" s="7" t="n">
        <f aca="false">VLOOKUP($F85,Category!$A$2:$AZ$20,31,0)</f>
        <v>0.333333333333333</v>
      </c>
      <c r="AZ85" s="7" t="n">
        <f aca="false">VLOOKUP($D85,Size!$A$2:$Z$14,16,0)</f>
        <v>5</v>
      </c>
      <c r="BA85" s="7" t="n">
        <f aca="false">VLOOKUP($E85,Role!$A$2:$O$9,2,0)</f>
        <v>0.666</v>
      </c>
      <c r="BC85" s="7" t="n">
        <f aca="false">VLOOKUP($D85,Size!$A$2:$Z$14,19,0)</f>
        <v>22</v>
      </c>
      <c r="BD85" s="7" t="n">
        <f aca="false">VLOOKUP($D85,Size!$A$2:$Z$14,20,0)</f>
        <v>6</v>
      </c>
      <c r="BE85" s="7" t="n">
        <f aca="false">VLOOKUP($E85,Role!$A$2:$O$9,12,0)</f>
        <v>1.25</v>
      </c>
      <c r="BF85" s="7" t="n">
        <f aca="false">VLOOKUP($C85,Type!$A$2:$B$4,2,0)</f>
        <v>1</v>
      </c>
      <c r="BG85" s="7" t="n">
        <f aca="false">VLOOKUP($D85,Size!$A$2:$Z$14,18,0)</f>
        <v>46.4833054890161</v>
      </c>
      <c r="BH85" s="7" t="n">
        <f aca="false">INT($BF85*$BG85*$BE85*$B85/2)</f>
        <v>87</v>
      </c>
      <c r="BI85" s="7" t="n">
        <f aca="false">INT(($BC85*$BF85)+($I85*$BD85))</f>
        <v>46</v>
      </c>
      <c r="BJ85" s="7" t="n">
        <f aca="false">INT((($I85*$BE85)+$BC85)*$BF85)</f>
        <v>27</v>
      </c>
      <c r="BK85" s="14"/>
      <c r="BL85" s="7" t="n">
        <f aca="false">VLOOKUP($E85,Role!$A$2:$O$9,13,0)</f>
        <v>1.25</v>
      </c>
      <c r="BM85" s="7" t="n">
        <f aca="false">VLOOKUP($E85,Role!$A$2:$O$9,11,0)</f>
        <v>0.666</v>
      </c>
      <c r="BO85" s="7" t="n">
        <f aca="false">VLOOKUP($E85,Role!$A$2:$O$9,8,0)</f>
        <v>0.75</v>
      </c>
      <c r="BP85" s="7" t="n">
        <f aca="false">VLOOKUP($E85,Role!$A$2:$O$9,9,0)</f>
        <v>0.75</v>
      </c>
      <c r="BQ85" s="7" t="n">
        <f aca="false">VLOOKUP($E85,Role!$A$2:$O$9,10,0)</f>
        <v>0.5</v>
      </c>
    </row>
    <row r="86" customFormat="false" ht="12.8" hidden="false" customHeight="false" outlineLevel="0" collapsed="false">
      <c r="C86" s="3" t="s">
        <v>63</v>
      </c>
      <c r="E86" s="1" t="s">
        <v>70</v>
      </c>
      <c r="H86" s="4" t="e">
        <f aca="false">VLOOKUP($D86,Size!$A$2:$Z$14,6,0)</f>
        <v>#N/A</v>
      </c>
      <c r="I86" s="13" t="e">
        <f aca="false">INT(($B86*$AZ86*$AX86*$BA86)+($B86*$AY86))</f>
        <v>#N/A</v>
      </c>
      <c r="J86" s="4" t="e">
        <f aca="false">ROUND((($B86*$AT86)+($AV86*$AU86))*$AW86,0)</f>
        <v>#N/A</v>
      </c>
      <c r="K86" s="4" t="e">
        <f aca="false">ROUND((($B86*$AP86)+($B86*$AQ86))*$AS86,0)</f>
        <v>#N/A</v>
      </c>
      <c r="L86" s="4" t="e">
        <f aca="false">ROUND((($B86*$AM86)+($B86*$AN86))*$AO86,0)</f>
        <v>#N/A</v>
      </c>
      <c r="M86" s="4" t="e">
        <f aca="false">ROUND((($B86*$AG86)+($B86*$AH86))*$AI86,0)</f>
        <v>#N/A</v>
      </c>
      <c r="N86" s="4" t="e">
        <f aca="false">ROUND((($B86*$AJ86)+($B86*$AK86))*$AL86,0)</f>
        <v>#N/A</v>
      </c>
      <c r="O86" s="4" t="n">
        <f aca="false">INT($BO86*$B86)</f>
        <v>0</v>
      </c>
      <c r="P86" s="4" t="n">
        <f aca="false">INT($BP86*$B86)</f>
        <v>0</v>
      </c>
      <c r="Q86" s="4" t="e">
        <f aca="false">INT($BQ86*$B86*$AR86)</f>
        <v>#N/A</v>
      </c>
      <c r="R86" s="4" t="e">
        <f aca="false">IF($R$1="WT/G",INT(POWER($BH86*$BJ86*$BI86,0.333333)),0)+IF($R$1="WT/A",INT(($BH86+$BJ86+$BI86)/3),0)+IF($R$1="WT/A2",INT(($BJ86+$BI86)/2),0)+IF($R$1="WT/W",INT(($BH86+$BJ86+$BJ86+$BI86)/4),0)+IF($R$1="WT/W2",INT(($BH86+$BJ86+$BI86+$BI86)/4),0)+IF($R$1="WT/N",INT(MIN($BH86,$BJ86,$BI86)),0)+IF($R$1="WT/M",INT(MAX($BH86,$BJ86,$BI86)),0)+IF($R$1="WT/1",INT($BH86),0)+IF($R$1="WT/2",INT($BI86),0)+IF($R$1="WT/3",INT($BJ86),0)</f>
        <v>#N/A</v>
      </c>
      <c r="S86" s="4" t="e">
        <f aca="false">INT((10+$M86)*$BL86)</f>
        <v>#N/A</v>
      </c>
      <c r="T86" s="4" t="e">
        <f aca="false">INT($I86*$BM86*$BF86)</f>
        <v>#N/A</v>
      </c>
      <c r="U86" s="2" t="e">
        <f aca="false">ROUND(MAX($J86,$L86)+(MIN($J86,$L86)*$X86),0)</f>
        <v>#N/A</v>
      </c>
      <c r="V86" s="2" t="e">
        <f aca="false">MAX(1,INT(((MIN($I86:$J86)+(MAX($I86:$J86)*$H86*$Y86)))*$Z86))</f>
        <v>#N/A</v>
      </c>
      <c r="X86" s="5" t="n">
        <f aca="false">VLOOKUP($E86,Role!$A$2:$O$9,14,0)</f>
        <v>1</v>
      </c>
      <c r="Y86" s="5" t="n">
        <f aca="false">VLOOKUP($E86,Role!$A$2:$O$9,15,0)</f>
        <v>1</v>
      </c>
      <c r="Z86" s="5" t="e">
        <f aca="false">VLOOKUP($G86,Movement!$A$2:$C$7,3,0)</f>
        <v>#N/A</v>
      </c>
      <c r="AB86" s="5" t="e">
        <f aca="false">INT(5+(($H86-1)/3))</f>
        <v>#N/A</v>
      </c>
      <c r="AC86" s="5" t="e">
        <f aca="false">IF($AB86&lt;$I86,$I86-MAX($AB86,$B86),0)</f>
        <v>#N/A</v>
      </c>
      <c r="AD86" s="5" t="e">
        <f aca="false">(5-ROUND(($H86-1)/3,0))</f>
        <v>#N/A</v>
      </c>
      <c r="AE86" s="5" t="e">
        <f aca="false">IF($AD86&lt;$J86,$J86-MAX($AD86,$B86),0)</f>
        <v>#N/A</v>
      </c>
      <c r="AG86" s="6" t="e">
        <f aca="false">VLOOKUP($F86,Category!$A$2:$AZ$20,24,0)</f>
        <v>#N/A</v>
      </c>
      <c r="AH86" s="6" t="e">
        <f aca="false">VLOOKUP($F86,Category!$A$2:$AZ$20,26,0)</f>
        <v>#N/A</v>
      </c>
      <c r="AI86" s="6" t="n">
        <f aca="false">VLOOKUP($E86,Role!$A$2:$O$9,6,0)</f>
        <v>0.666</v>
      </c>
      <c r="AJ86" s="6" t="e">
        <f aca="false">VLOOKUP($F86,Category!$A$2:$AZ$20,19,0)</f>
        <v>#N/A</v>
      </c>
      <c r="AK86" s="6" t="e">
        <f aca="false">VLOOKUP($F86,Category!$A$2:$AZ$20,21,0)</f>
        <v>#N/A</v>
      </c>
      <c r="AL86" s="6" t="n">
        <f aca="false">VLOOKUP($E86,Role!$A$2:$O$9,7,0)</f>
        <v>0.666</v>
      </c>
      <c r="AM86" s="6" t="e">
        <f aca="false">VLOOKUP($F86,Category!$A$2:$AZ$20,19,0)</f>
        <v>#N/A</v>
      </c>
      <c r="AN86" s="6" t="e">
        <f aca="false">VLOOKUP($F86,Category!$A$2:$AZ$20,21,0)</f>
        <v>#N/A</v>
      </c>
      <c r="AO86" s="6" t="n">
        <f aca="false">VLOOKUP($E86,Role!$A$2:$O$9,5,0)</f>
        <v>0.666</v>
      </c>
      <c r="AP86" s="6" t="e">
        <f aca="false">VLOOKUP($F86,Category!$A$2:$AZ$20,9,0)</f>
        <v>#N/A</v>
      </c>
      <c r="AQ86" s="6" t="e">
        <f aca="false">VLOOKUP($F86,Category!$A$2:$AZ$20,11,0)</f>
        <v>#N/A</v>
      </c>
      <c r="AR86" s="6" t="e">
        <f aca="false">VLOOKUP($F86,Category!$A$2:$AZ$20,10,0)</f>
        <v>#N/A</v>
      </c>
      <c r="AS86" s="6" t="n">
        <f aca="false">VLOOKUP($E86,Role!$A$2:$O$9,4,0)</f>
        <v>0.666</v>
      </c>
      <c r="AT86" s="7" t="e">
        <f aca="false">VLOOKUP($F86,Category!$A$2:$AZ$20,14,0)</f>
        <v>#N/A</v>
      </c>
      <c r="AU86" s="7" t="e">
        <f aca="false">VLOOKUP($F86,Category!$A$2:$AZ$20,16,0)</f>
        <v>#N/A</v>
      </c>
      <c r="AV86" s="7" t="e">
        <f aca="false">VLOOKUP($D86,Size!$A$2:$Z$14,17,0)</f>
        <v>#N/A</v>
      </c>
      <c r="AW86" s="7" t="n">
        <f aca="false">VLOOKUP($E86,Role!$A$2:$O$9,3,0)</f>
        <v>0.666</v>
      </c>
      <c r="AX86" s="7" t="e">
        <f aca="false">VLOOKUP($F86,Category!$A$2:$AZ$20,29,0)</f>
        <v>#N/A</v>
      </c>
      <c r="AY86" s="7" t="e">
        <f aca="false">VLOOKUP($F86,Category!$A$2:$AZ$20,31,0)</f>
        <v>#N/A</v>
      </c>
      <c r="AZ86" s="7" t="e">
        <f aca="false">VLOOKUP($D86,Size!$A$2:$Z$14,16,0)</f>
        <v>#N/A</v>
      </c>
      <c r="BA86" s="7" t="n">
        <f aca="false">VLOOKUP($E86,Role!$A$2:$O$9,2,0)</f>
        <v>0.666</v>
      </c>
      <c r="BC86" s="7" t="e">
        <f aca="false">VLOOKUP($D86,Size!$A$2:$Z$14,19,0)</f>
        <v>#N/A</v>
      </c>
      <c r="BD86" s="7" t="e">
        <f aca="false">VLOOKUP($D86,Size!$A$2:$Z$14,20,0)</f>
        <v>#N/A</v>
      </c>
      <c r="BE86" s="7" t="n">
        <f aca="false">VLOOKUP($E86,Role!$A$2:$O$9,12,0)</f>
        <v>1.25</v>
      </c>
      <c r="BF86" s="7" t="n">
        <f aca="false">VLOOKUP($C86,Type!$A$2:$B$4,2,0)</f>
        <v>1</v>
      </c>
      <c r="BG86" s="7" t="e">
        <f aca="false">VLOOKUP($D86,Size!$A$2:$Z$14,18,0)</f>
        <v>#N/A</v>
      </c>
      <c r="BH86" s="7" t="e">
        <f aca="false">INT($BF86*$BG86*$BE86*$B86/2)</f>
        <v>#N/A</v>
      </c>
      <c r="BI86" s="7" t="e">
        <f aca="false">INT(($BC86*$BF86)+($I86*$BD86))</f>
        <v>#N/A</v>
      </c>
      <c r="BJ86" s="7" t="e">
        <f aca="false">INT((($I86*$BE86)+$BC86)*$BF86)</f>
        <v>#N/A</v>
      </c>
      <c r="BK86" s="14"/>
      <c r="BL86" s="7" t="n">
        <f aca="false">VLOOKUP($E86,Role!$A$2:$O$9,13,0)</f>
        <v>1.25</v>
      </c>
      <c r="BM86" s="7" t="n">
        <f aca="false">VLOOKUP($E86,Role!$A$2:$O$9,11,0)</f>
        <v>0.666</v>
      </c>
      <c r="BO86" s="7" t="n">
        <f aca="false">VLOOKUP($E86,Role!$A$2:$O$9,8,0)</f>
        <v>0.75</v>
      </c>
      <c r="BP86" s="7" t="n">
        <f aca="false">VLOOKUP($E86,Role!$A$2:$O$9,9,0)</f>
        <v>0.75</v>
      </c>
      <c r="BQ86" s="7" t="n">
        <f aca="false">VLOOKUP($E86,Role!$A$2:$O$9,10,0)</f>
        <v>0.5</v>
      </c>
    </row>
    <row r="87" customFormat="false" ht="12.8" hidden="false" customHeight="false" outlineLevel="0" collapsed="false">
      <c r="B87" s="2" t="n">
        <v>4</v>
      </c>
      <c r="C87" s="3" t="s">
        <v>63</v>
      </c>
      <c r="D87" s="1" t="s">
        <v>78</v>
      </c>
      <c r="E87" s="1" t="s">
        <v>70</v>
      </c>
      <c r="F87" s="1" t="s">
        <v>79</v>
      </c>
      <c r="G87" s="1" t="s">
        <v>80</v>
      </c>
      <c r="H87" s="4" t="n">
        <f aca="false">VLOOKUP($D87,Size!$A$2:$Z$14,6,0)</f>
        <v>-3</v>
      </c>
      <c r="I87" s="13" t="n">
        <f aca="false">INT(($B87*$AZ87*$AX87*$BA87)+($B87*$AY87))</f>
        <v>2</v>
      </c>
      <c r="J87" s="4" t="n">
        <f aca="false">ROUND((($B87*$AT87)+($AV87*$AU87))*$AW87,0)</f>
        <v>2</v>
      </c>
      <c r="K87" s="4" t="n">
        <f aca="false">ROUND((($B87*$AP87)+($B87*$AQ87))*$AS87,0)</f>
        <v>1</v>
      </c>
      <c r="L87" s="4" t="n">
        <f aca="false">ROUND((($B87*$AM87)+($B87*$AN87))*$AO87,0)</f>
        <v>2</v>
      </c>
      <c r="M87" s="4" t="n">
        <f aca="false">ROUND((($B87*$AG87)+($B87*$AH87))*$AI87,0)</f>
        <v>1</v>
      </c>
      <c r="N87" s="4" t="n">
        <f aca="false">ROUND((($B87*$AJ87)+($B87*$AK87))*$AL87,0)</f>
        <v>2</v>
      </c>
      <c r="O87" s="4" t="n">
        <f aca="false">INT($BO87*$B87)</f>
        <v>3</v>
      </c>
      <c r="P87" s="4" t="n">
        <f aca="false">INT($BP87*$B87)</f>
        <v>3</v>
      </c>
      <c r="Q87" s="4" t="n">
        <f aca="false">INT($BQ87*$B87*$AR87)</f>
        <v>1</v>
      </c>
      <c r="R87" s="4" t="n">
        <f aca="false">IF($R$1="WT/G",INT(POWER($BH87*$BJ87*$BI87,0.333333)),0)+IF($R$1="WT/A",INT(($BH87+$BJ87+$BI87)/3),0)+IF($R$1="WT/A2",INT(($BJ87+$BI87)/2),0)+IF($R$1="WT/W",INT(($BH87+$BJ87+$BJ87+$BI87)/4),0)+IF($R$1="WT/W2",INT(($BH87+$BJ87+$BI87+$BI87)/4),0)+IF($R$1="WT/N",INT(MIN($BH87,$BJ87,$BI87)),0)+IF($R$1="WT/M",INT(MAX($BH87,$BJ87,$BI87)),0)+IF($R$1="WT/1",INT($BH87),0)+IF($R$1="WT/2",INT($BI87),0)+IF($R$1="WT/3",INT($BJ87),0)</f>
        <v>6</v>
      </c>
      <c r="S87" s="4" t="n">
        <f aca="false">INT((10+$M87)*$BL87)</f>
        <v>13</v>
      </c>
      <c r="T87" s="4" t="n">
        <f aca="false">INT($I87*$BM87*$BF87)</f>
        <v>1</v>
      </c>
      <c r="U87" s="2" t="n">
        <f aca="false">ROUND(MAX($J87,$L87)+(MIN($J87,$L87)*$X87),0)</f>
        <v>4</v>
      </c>
      <c r="V87" s="2" t="n">
        <f aca="false">MAX(1,INT(((MIN($I87:$J87)+(MAX($I87:$J87)*$H87*$Y87)))*$Z87))</f>
        <v>1</v>
      </c>
      <c r="X87" s="5" t="n">
        <f aca="false">VLOOKUP($E87,Role!$A$2:$O$9,14,0)</f>
        <v>1</v>
      </c>
      <c r="Y87" s="5" t="n">
        <f aca="false">VLOOKUP($E87,Role!$A$2:$O$9,15,0)</f>
        <v>1</v>
      </c>
      <c r="Z87" s="5" t="n">
        <f aca="false">VLOOKUP($G87,Movement!$A$2:$C$7,3,0)</f>
        <v>1.5</v>
      </c>
      <c r="AB87" s="5" t="n">
        <f aca="false">INT(5+(($H87-1)/3))</f>
        <v>3</v>
      </c>
      <c r="AC87" s="5" t="n">
        <f aca="false">IF($AB87&lt;$I87,$I87-MAX($AB87,$B87),0)</f>
        <v>0</v>
      </c>
      <c r="AD87" s="5" t="n">
        <f aca="false">(5-ROUND(($H87-1)/3,0))</f>
        <v>6</v>
      </c>
      <c r="AE87" s="5" t="n">
        <f aca="false">IF($AD87&lt;$J87,$J87-MAX($AD87,$B87),0)</f>
        <v>0</v>
      </c>
      <c r="AG87" s="6" t="n">
        <f aca="false">VLOOKUP($F87,Category!$A$2:$AZ$20,24,0)</f>
        <v>0</v>
      </c>
      <c r="AH87" s="6" t="n">
        <f aca="false">VLOOKUP($F87,Category!$A$2:$AZ$20,26,0)</f>
        <v>0.333333333333333</v>
      </c>
      <c r="AI87" s="6" t="n">
        <f aca="false">VLOOKUP($E87,Role!$A$2:$O$9,6,0)</f>
        <v>0.666</v>
      </c>
      <c r="AJ87" s="6" t="n">
        <f aca="false">VLOOKUP($F87,Category!$A$2:$AZ$20,19,0)</f>
        <v>0.0909090909090909</v>
      </c>
      <c r="AK87" s="6" t="n">
        <f aca="false">VLOOKUP($F87,Category!$A$2:$AZ$20,21,0)</f>
        <v>0.545454545454545</v>
      </c>
      <c r="AL87" s="6" t="n">
        <f aca="false">VLOOKUP($E87,Role!$A$2:$O$9,7,0)</f>
        <v>0.666</v>
      </c>
      <c r="AM87" s="6" t="n">
        <f aca="false">VLOOKUP($F87,Category!$A$2:$AZ$20,19,0)</f>
        <v>0.0909090909090909</v>
      </c>
      <c r="AN87" s="6" t="n">
        <f aca="false">VLOOKUP($F87,Category!$A$2:$AZ$20,21,0)</f>
        <v>0.545454545454545</v>
      </c>
      <c r="AO87" s="6" t="n">
        <f aca="false">VLOOKUP($E87,Role!$A$2:$O$9,5,0)</f>
        <v>0.666</v>
      </c>
      <c r="AP87" s="6" t="n">
        <f aca="false">VLOOKUP($F87,Category!$A$2:$AZ$20,9,0)</f>
        <v>0</v>
      </c>
      <c r="AQ87" s="6" t="n">
        <f aca="false">VLOOKUP($F87,Category!$A$2:$AZ$20,11,0)</f>
        <v>0.555555555555556</v>
      </c>
      <c r="AR87" s="6" t="n">
        <f aca="false">VLOOKUP($F87,Category!$A$2:$AZ$20,10,0)</f>
        <v>0.555555555555556</v>
      </c>
      <c r="AS87" s="6" t="n">
        <f aca="false">VLOOKUP($E87,Role!$A$2:$O$9,4,0)</f>
        <v>0.666</v>
      </c>
      <c r="AT87" s="7" t="n">
        <f aca="false">VLOOKUP($F87,Category!$A$2:$AZ$20,14,0)</f>
        <v>0.416666666666667</v>
      </c>
      <c r="AU87" s="7" t="n">
        <f aca="false">VLOOKUP($F87,Category!$A$2:$AZ$20,16,0)</f>
        <v>0.25</v>
      </c>
      <c r="AV87" s="7" t="n">
        <f aca="false">VLOOKUP($D87,Size!$A$2:$Z$14,17,0)</f>
        <v>4</v>
      </c>
      <c r="AW87" s="7" t="n">
        <f aca="false">VLOOKUP($E87,Role!$A$2:$O$9,3,0)</f>
        <v>0.666</v>
      </c>
      <c r="AX87" s="7" t="n">
        <f aca="false">VLOOKUP($F87,Category!$A$2:$AZ$20,29,0)</f>
        <v>0.333333333333333</v>
      </c>
      <c r="AY87" s="7" t="n">
        <f aca="false">VLOOKUP($F87,Category!$A$2:$AZ$20,31,0)</f>
        <v>0.333333333333333</v>
      </c>
      <c r="AZ87" s="7" t="n">
        <f aca="false">VLOOKUP($D87,Size!$A$2:$Z$14,16,0)</f>
        <v>1</v>
      </c>
      <c r="BA87" s="7" t="n">
        <f aca="false">VLOOKUP($E87,Role!$A$2:$O$9,2,0)</f>
        <v>0.666</v>
      </c>
      <c r="BC87" s="7" t="n">
        <f aca="false">VLOOKUP($D87,Size!$A$2:$Z$14,19,0)</f>
        <v>6</v>
      </c>
      <c r="BD87" s="7" t="n">
        <f aca="false">VLOOKUP($D87,Size!$A$2:$Z$14,20,0)</f>
        <v>0.33</v>
      </c>
      <c r="BE87" s="7" t="n">
        <f aca="false">VLOOKUP($E87,Role!$A$2:$O$9,12,0)</f>
        <v>1.25</v>
      </c>
      <c r="BF87" s="7" t="n">
        <f aca="false">VLOOKUP($C87,Type!$A$2:$B$4,2,0)</f>
        <v>1</v>
      </c>
      <c r="BG87" s="7" t="n">
        <f aca="false">VLOOKUP($D87,Size!$A$2:$Z$14,18,0)</f>
        <v>2.71683715631514</v>
      </c>
      <c r="BH87" s="7" t="n">
        <f aca="false">INT($BF87*$BG87*$BE87*$B87/2)</f>
        <v>6</v>
      </c>
      <c r="BI87" s="7" t="n">
        <f aca="false">INT(($BC87*$BF87)+($I87*$BD87))</f>
        <v>6</v>
      </c>
      <c r="BJ87" s="7" t="n">
        <f aca="false">INT((($I87*$BE87)+$BC87)*$BF87)</f>
        <v>8</v>
      </c>
      <c r="BK87" s="14"/>
      <c r="BL87" s="7" t="n">
        <f aca="false">VLOOKUP($E87,Role!$A$2:$O$9,13,0)</f>
        <v>1.25</v>
      </c>
      <c r="BM87" s="7" t="n">
        <f aca="false">VLOOKUP($E87,Role!$A$2:$O$9,11,0)</f>
        <v>0.666</v>
      </c>
      <c r="BO87" s="7" t="n">
        <f aca="false">VLOOKUP($E87,Role!$A$2:$O$9,8,0)</f>
        <v>0.75</v>
      </c>
      <c r="BP87" s="7" t="n">
        <f aca="false">VLOOKUP($E87,Role!$A$2:$O$9,9,0)</f>
        <v>0.75</v>
      </c>
      <c r="BQ87" s="7" t="n">
        <f aca="false">VLOOKUP($E87,Role!$A$2:$O$9,10,0)</f>
        <v>0.5</v>
      </c>
    </row>
    <row r="88" customFormat="false" ht="12.8" hidden="false" customHeight="false" outlineLevel="0" collapsed="false">
      <c r="B88" s="2" t="n">
        <v>4</v>
      </c>
      <c r="C88" s="3" t="s">
        <v>63</v>
      </c>
      <c r="D88" s="1" t="s">
        <v>81</v>
      </c>
      <c r="E88" s="1" t="s">
        <v>70</v>
      </c>
      <c r="F88" s="1" t="s">
        <v>79</v>
      </c>
      <c r="G88" s="1" t="s">
        <v>80</v>
      </c>
      <c r="H88" s="4" t="n">
        <f aca="false">VLOOKUP($D88,Size!$A$2:$Z$14,6,0)</f>
        <v>-2</v>
      </c>
      <c r="I88" s="13" t="n">
        <f aca="false">INT(($B88*$AZ88*$AX88*$BA88)+($B88*$AY88))</f>
        <v>3</v>
      </c>
      <c r="J88" s="4" t="n">
        <f aca="false">ROUND((($B88*$AT88)+($AV88*$AU88))*$AW88,0)</f>
        <v>2</v>
      </c>
      <c r="K88" s="4" t="n">
        <f aca="false">ROUND((($B88*$AP88)+($B88*$AQ88))*$AS88,0)</f>
        <v>1</v>
      </c>
      <c r="L88" s="4" t="n">
        <f aca="false">ROUND((($B88*$AM88)+($B88*$AN88))*$AO88,0)</f>
        <v>2</v>
      </c>
      <c r="M88" s="4" t="n">
        <f aca="false">ROUND((($B88*$AG88)+($B88*$AH88))*$AI88,0)</f>
        <v>1</v>
      </c>
      <c r="N88" s="4" t="n">
        <f aca="false">ROUND((($B88*$AJ88)+($B88*$AK88))*$AL88,0)</f>
        <v>2</v>
      </c>
      <c r="O88" s="4" t="n">
        <f aca="false">INT($BO88*$B88)</f>
        <v>3</v>
      </c>
      <c r="P88" s="4" t="n">
        <f aca="false">INT($BP88*$B88)</f>
        <v>3</v>
      </c>
      <c r="Q88" s="4" t="n">
        <f aca="false">INT($BQ88*$B88*$AR88)</f>
        <v>1</v>
      </c>
      <c r="R88" s="4" t="n">
        <f aca="false">IF($R$1="WT/G",INT(POWER($BH88*$BJ88*$BI88,0.333333)),0)+IF($R$1="WT/A",INT(($BH88+$BJ88+$BI88)/3),0)+IF($R$1="WT/A2",INT(($BJ88+$BI88)/2),0)+IF($R$1="WT/W",INT(($BH88+$BJ88+$BJ88+$BI88)/4),0)+IF($R$1="WT/W2",INT(($BH88+$BJ88+$BI88+$BI88)/4),0)+IF($R$1="WT/N",INT(MIN($BH88,$BJ88,$BI88)),0)+IF($R$1="WT/M",INT(MAX($BH88,$BJ88,$BI88)),0)+IF($R$1="WT/1",INT($BH88),0)+IF($R$1="WT/2",INT($BI88),0)+IF($R$1="WT/3",INT($BJ88),0)</f>
        <v>10</v>
      </c>
      <c r="S88" s="4" t="n">
        <f aca="false">INT((10+$M88)*$BL88)</f>
        <v>13</v>
      </c>
      <c r="T88" s="4" t="n">
        <f aca="false">INT($I88*$BM88*$BF88)</f>
        <v>1</v>
      </c>
      <c r="U88" s="2" t="n">
        <f aca="false">ROUND(MAX($J88,$L88)+(MIN($J88,$L88)*$X88),0)</f>
        <v>4</v>
      </c>
      <c r="V88" s="2" t="n">
        <f aca="false">MAX(1,INT(((MIN($I88:$J88)+(MAX($I88:$J88)*$H88*$Y88)))*$Z88))</f>
        <v>1</v>
      </c>
      <c r="X88" s="5" t="n">
        <f aca="false">VLOOKUP($E88,Role!$A$2:$O$9,14,0)</f>
        <v>1</v>
      </c>
      <c r="Y88" s="5" t="n">
        <f aca="false">VLOOKUP($E88,Role!$A$2:$O$9,15,0)</f>
        <v>1</v>
      </c>
      <c r="Z88" s="5" t="n">
        <f aca="false">VLOOKUP($G88,Movement!$A$2:$C$7,3,0)</f>
        <v>1.5</v>
      </c>
      <c r="AB88" s="5" t="n">
        <f aca="false">INT(5+(($H88-1)/3))</f>
        <v>4</v>
      </c>
      <c r="AC88" s="5" t="n">
        <f aca="false">IF($AB88&lt;$I88,$I88-MAX($AB88,$B88),0)</f>
        <v>0</v>
      </c>
      <c r="AD88" s="5" t="n">
        <f aca="false">(5-ROUND(($H88-1)/3,0))</f>
        <v>6</v>
      </c>
      <c r="AE88" s="5" t="n">
        <f aca="false">IF($AD88&lt;$J88,$J88-MAX($AD88,$B88),0)</f>
        <v>0</v>
      </c>
      <c r="AG88" s="6" t="n">
        <f aca="false">VLOOKUP($F88,Category!$A$2:$AZ$20,24,0)</f>
        <v>0</v>
      </c>
      <c r="AH88" s="6" t="n">
        <f aca="false">VLOOKUP($F88,Category!$A$2:$AZ$20,26,0)</f>
        <v>0.333333333333333</v>
      </c>
      <c r="AI88" s="6" t="n">
        <f aca="false">VLOOKUP($E88,Role!$A$2:$O$9,6,0)</f>
        <v>0.666</v>
      </c>
      <c r="AJ88" s="6" t="n">
        <f aca="false">VLOOKUP($F88,Category!$A$2:$AZ$20,19,0)</f>
        <v>0.0909090909090909</v>
      </c>
      <c r="AK88" s="6" t="n">
        <f aca="false">VLOOKUP($F88,Category!$A$2:$AZ$20,21,0)</f>
        <v>0.545454545454545</v>
      </c>
      <c r="AL88" s="6" t="n">
        <f aca="false">VLOOKUP($E88,Role!$A$2:$O$9,7,0)</f>
        <v>0.666</v>
      </c>
      <c r="AM88" s="6" t="n">
        <f aca="false">VLOOKUP($F88,Category!$A$2:$AZ$20,19,0)</f>
        <v>0.0909090909090909</v>
      </c>
      <c r="AN88" s="6" t="n">
        <f aca="false">VLOOKUP($F88,Category!$A$2:$AZ$20,21,0)</f>
        <v>0.545454545454545</v>
      </c>
      <c r="AO88" s="6" t="n">
        <f aca="false">VLOOKUP($E88,Role!$A$2:$O$9,5,0)</f>
        <v>0.666</v>
      </c>
      <c r="AP88" s="6" t="n">
        <f aca="false">VLOOKUP($F88,Category!$A$2:$AZ$20,9,0)</f>
        <v>0</v>
      </c>
      <c r="AQ88" s="6" t="n">
        <f aca="false">VLOOKUP($F88,Category!$A$2:$AZ$20,11,0)</f>
        <v>0.555555555555556</v>
      </c>
      <c r="AR88" s="6" t="n">
        <f aca="false">VLOOKUP($F88,Category!$A$2:$AZ$20,10,0)</f>
        <v>0.555555555555556</v>
      </c>
      <c r="AS88" s="6" t="n">
        <f aca="false">VLOOKUP($E88,Role!$A$2:$O$9,4,0)</f>
        <v>0.666</v>
      </c>
      <c r="AT88" s="7" t="n">
        <f aca="false">VLOOKUP($F88,Category!$A$2:$AZ$20,14,0)</f>
        <v>0.416666666666667</v>
      </c>
      <c r="AU88" s="7" t="n">
        <f aca="false">VLOOKUP($F88,Category!$A$2:$AZ$20,16,0)</f>
        <v>0.25</v>
      </c>
      <c r="AV88" s="7" t="n">
        <f aca="false">VLOOKUP($D88,Size!$A$2:$Z$14,17,0)</f>
        <v>3</v>
      </c>
      <c r="AW88" s="7" t="n">
        <f aca="false">VLOOKUP($E88,Role!$A$2:$O$9,3,0)</f>
        <v>0.666</v>
      </c>
      <c r="AX88" s="7" t="n">
        <f aca="false">VLOOKUP($F88,Category!$A$2:$AZ$20,29,0)</f>
        <v>0.333333333333333</v>
      </c>
      <c r="AY88" s="7" t="n">
        <f aca="false">VLOOKUP($F88,Category!$A$2:$AZ$20,31,0)</f>
        <v>0.333333333333333</v>
      </c>
      <c r="AZ88" s="7" t="n">
        <f aca="false">VLOOKUP($D88,Size!$A$2:$Z$14,16,0)</f>
        <v>2</v>
      </c>
      <c r="BA88" s="7" t="n">
        <f aca="false">VLOOKUP($E88,Role!$A$2:$O$9,2,0)</f>
        <v>0.666</v>
      </c>
      <c r="BC88" s="7" t="n">
        <f aca="false">VLOOKUP($D88,Size!$A$2:$Z$14,19,0)</f>
        <v>7</v>
      </c>
      <c r="BD88" s="7" t="n">
        <f aca="false">VLOOKUP($D88,Size!$A$2:$Z$14,20,0)</f>
        <v>0.5</v>
      </c>
      <c r="BE88" s="7" t="n">
        <f aca="false">VLOOKUP($E88,Role!$A$2:$O$9,12,0)</f>
        <v>1.25</v>
      </c>
      <c r="BF88" s="7" t="n">
        <f aca="false">VLOOKUP($C88,Type!$A$2:$B$4,2,0)</f>
        <v>1</v>
      </c>
      <c r="BG88" s="7" t="n">
        <f aca="false">VLOOKUP($D88,Size!$A$2:$Z$14,18,0)</f>
        <v>6.5643914849257</v>
      </c>
      <c r="BH88" s="7" t="n">
        <f aca="false">INT($BF88*$BG88*$BE88*$B88/2)</f>
        <v>16</v>
      </c>
      <c r="BI88" s="7" t="n">
        <f aca="false">INT(($BC88*$BF88)+($I88*$BD88))</f>
        <v>8</v>
      </c>
      <c r="BJ88" s="7" t="n">
        <f aca="false">INT((($I88*$BE88)+$BC88)*$BF88)</f>
        <v>10</v>
      </c>
      <c r="BK88" s="14"/>
      <c r="BL88" s="7" t="n">
        <f aca="false">VLOOKUP($E88,Role!$A$2:$O$9,13,0)</f>
        <v>1.25</v>
      </c>
      <c r="BM88" s="7" t="n">
        <f aca="false">VLOOKUP($E88,Role!$A$2:$O$9,11,0)</f>
        <v>0.666</v>
      </c>
      <c r="BO88" s="7" t="n">
        <f aca="false">VLOOKUP($E88,Role!$A$2:$O$9,8,0)</f>
        <v>0.75</v>
      </c>
      <c r="BP88" s="7" t="n">
        <f aca="false">VLOOKUP($E88,Role!$A$2:$O$9,9,0)</f>
        <v>0.75</v>
      </c>
      <c r="BQ88" s="7" t="n">
        <f aca="false">VLOOKUP($E88,Role!$A$2:$O$9,10,0)</f>
        <v>0.5</v>
      </c>
    </row>
    <row r="89" customFormat="false" ht="12.8" hidden="false" customHeight="false" outlineLevel="0" collapsed="false">
      <c r="B89" s="2" t="n">
        <v>4</v>
      </c>
      <c r="C89" s="3" t="s">
        <v>63</v>
      </c>
      <c r="D89" s="1" t="s">
        <v>82</v>
      </c>
      <c r="E89" s="1" t="s">
        <v>70</v>
      </c>
      <c r="F89" s="1" t="s">
        <v>79</v>
      </c>
      <c r="G89" s="1" t="s">
        <v>80</v>
      </c>
      <c r="H89" s="4" t="n">
        <f aca="false">VLOOKUP($D89,Size!$A$2:$Z$14,6,0)</f>
        <v>-1</v>
      </c>
      <c r="I89" s="13" t="n">
        <f aca="false">INT(($B89*$AZ89*$AX89*$BA89)+($B89*$AY89))</f>
        <v>3</v>
      </c>
      <c r="J89" s="4" t="n">
        <f aca="false">ROUND((($B89*$AT89)+($AV89*$AU89))*$AW89,0)</f>
        <v>2</v>
      </c>
      <c r="K89" s="4" t="n">
        <f aca="false">ROUND((($B89*$AP89)+($B89*$AQ89))*$AS89,0)</f>
        <v>1</v>
      </c>
      <c r="L89" s="4" t="n">
        <f aca="false">ROUND((($B89*$AM89)+($B89*$AN89))*$AO89,0)</f>
        <v>2</v>
      </c>
      <c r="M89" s="4" t="n">
        <f aca="false">ROUND((($B89*$AG89)+($B89*$AH89))*$AI89,0)</f>
        <v>1</v>
      </c>
      <c r="N89" s="4" t="n">
        <f aca="false">ROUND((($B89*$AJ89)+($B89*$AK89))*$AL89,0)</f>
        <v>2</v>
      </c>
      <c r="O89" s="4" t="n">
        <f aca="false">INT($BO89*$B89)</f>
        <v>3</v>
      </c>
      <c r="P89" s="4" t="n">
        <f aca="false">INT($BP89*$B89)</f>
        <v>3</v>
      </c>
      <c r="Q89" s="4" t="n">
        <f aca="false">INT($BQ89*$B89*$AR89)</f>
        <v>1</v>
      </c>
      <c r="R89" s="4" t="n">
        <f aca="false">IF($R$1="WT/G",INT(POWER($BH89*$BJ89*$BI89,0.333333)),0)+IF($R$1="WT/A",INT(($BH89+$BJ89+$BI89)/3),0)+IF($R$1="WT/A2",INT(($BJ89+$BI89)/2),0)+IF($R$1="WT/W",INT(($BH89+$BJ89+$BJ89+$BI89)/4),0)+IF($R$1="WT/W2",INT(($BH89+$BJ89+$BI89+$BI89)/4),0)+IF($R$1="WT/N",INT(MIN($BH89,$BJ89,$BI89)),0)+IF($R$1="WT/M",INT(MAX($BH89,$BJ89,$BI89)),0)+IF($R$1="WT/1",INT($BH89),0)+IF($R$1="WT/2",INT($BI89),0)+IF($R$1="WT/3",INT($BJ89),0)</f>
        <v>12</v>
      </c>
      <c r="S89" s="4" t="n">
        <f aca="false">INT((10+$M89)*$BL89)</f>
        <v>13</v>
      </c>
      <c r="T89" s="4" t="n">
        <f aca="false">INT($I89*$BM89*$BF89)</f>
        <v>1</v>
      </c>
      <c r="U89" s="2" t="n">
        <f aca="false">ROUND(MAX($J89,$L89)+(MIN($J89,$L89)*$X89),0)</f>
        <v>4</v>
      </c>
      <c r="V89" s="2" t="n">
        <f aca="false">MAX(1,INT(((MIN($I89:$J89)+(MAX($I89:$J89)*$H89*$Y89)))*$Z89))</f>
        <v>1</v>
      </c>
      <c r="X89" s="5" t="n">
        <f aca="false">VLOOKUP($E89,Role!$A$2:$O$9,14,0)</f>
        <v>1</v>
      </c>
      <c r="Y89" s="5" t="n">
        <f aca="false">VLOOKUP($E89,Role!$A$2:$O$9,15,0)</f>
        <v>1</v>
      </c>
      <c r="Z89" s="5" t="n">
        <f aca="false">VLOOKUP($G89,Movement!$A$2:$C$7,3,0)</f>
        <v>1.5</v>
      </c>
      <c r="AB89" s="5" t="n">
        <f aca="false">INT(5+(($H89-1)/3))</f>
        <v>4</v>
      </c>
      <c r="AC89" s="5" t="n">
        <f aca="false">IF($AB89&lt;$I89,$I89-MAX($AB89,$B89),0)</f>
        <v>0</v>
      </c>
      <c r="AD89" s="5" t="n">
        <f aca="false">(5-ROUND(($H89-1)/3,0))</f>
        <v>6</v>
      </c>
      <c r="AE89" s="5" t="n">
        <f aca="false">IF($AD89&lt;$J89,$J89-MAX($AD89,$B89),0)</f>
        <v>0</v>
      </c>
      <c r="AG89" s="6" t="n">
        <f aca="false">VLOOKUP($F89,Category!$A$2:$AZ$20,24,0)</f>
        <v>0</v>
      </c>
      <c r="AH89" s="6" t="n">
        <f aca="false">VLOOKUP($F89,Category!$A$2:$AZ$20,26,0)</f>
        <v>0.333333333333333</v>
      </c>
      <c r="AI89" s="6" t="n">
        <f aca="false">VLOOKUP($E89,Role!$A$2:$O$9,6,0)</f>
        <v>0.666</v>
      </c>
      <c r="AJ89" s="6" t="n">
        <f aca="false">VLOOKUP($F89,Category!$A$2:$AZ$20,19,0)</f>
        <v>0.0909090909090909</v>
      </c>
      <c r="AK89" s="6" t="n">
        <f aca="false">VLOOKUP($F89,Category!$A$2:$AZ$20,21,0)</f>
        <v>0.545454545454545</v>
      </c>
      <c r="AL89" s="6" t="n">
        <f aca="false">VLOOKUP($E89,Role!$A$2:$O$9,7,0)</f>
        <v>0.666</v>
      </c>
      <c r="AM89" s="6" t="n">
        <f aca="false">VLOOKUP($F89,Category!$A$2:$AZ$20,19,0)</f>
        <v>0.0909090909090909</v>
      </c>
      <c r="AN89" s="6" t="n">
        <f aca="false">VLOOKUP($F89,Category!$A$2:$AZ$20,21,0)</f>
        <v>0.545454545454545</v>
      </c>
      <c r="AO89" s="6" t="n">
        <f aca="false">VLOOKUP($E89,Role!$A$2:$O$9,5,0)</f>
        <v>0.666</v>
      </c>
      <c r="AP89" s="6" t="n">
        <f aca="false">VLOOKUP($F89,Category!$A$2:$AZ$20,9,0)</f>
        <v>0</v>
      </c>
      <c r="AQ89" s="6" t="n">
        <f aca="false">VLOOKUP($F89,Category!$A$2:$AZ$20,11,0)</f>
        <v>0.555555555555556</v>
      </c>
      <c r="AR89" s="6" t="n">
        <f aca="false">VLOOKUP($F89,Category!$A$2:$AZ$20,10,0)</f>
        <v>0.555555555555556</v>
      </c>
      <c r="AS89" s="6" t="n">
        <f aca="false">VLOOKUP($E89,Role!$A$2:$O$9,4,0)</f>
        <v>0.666</v>
      </c>
      <c r="AT89" s="7" t="n">
        <f aca="false">VLOOKUP($F89,Category!$A$2:$AZ$20,14,0)</f>
        <v>0.416666666666667</v>
      </c>
      <c r="AU89" s="7" t="n">
        <f aca="false">VLOOKUP($F89,Category!$A$2:$AZ$20,16,0)</f>
        <v>0.25</v>
      </c>
      <c r="AV89" s="7" t="n">
        <f aca="false">VLOOKUP($D89,Size!$A$2:$Z$14,17,0)</f>
        <v>3</v>
      </c>
      <c r="AW89" s="7" t="n">
        <f aca="false">VLOOKUP($E89,Role!$A$2:$O$9,3,0)</f>
        <v>0.666</v>
      </c>
      <c r="AX89" s="7" t="n">
        <f aca="false">VLOOKUP($F89,Category!$A$2:$AZ$20,29,0)</f>
        <v>0.333333333333333</v>
      </c>
      <c r="AY89" s="7" t="n">
        <f aca="false">VLOOKUP($F89,Category!$A$2:$AZ$20,31,0)</f>
        <v>0.333333333333333</v>
      </c>
      <c r="AZ89" s="7" t="n">
        <f aca="false">VLOOKUP($D89,Size!$A$2:$Z$14,16,0)</f>
        <v>2</v>
      </c>
      <c r="BA89" s="7" t="n">
        <f aca="false">VLOOKUP($E89,Role!$A$2:$O$9,2,0)</f>
        <v>0.666</v>
      </c>
      <c r="BC89" s="7" t="n">
        <f aca="false">VLOOKUP($D89,Size!$A$2:$Z$14,19,0)</f>
        <v>8</v>
      </c>
      <c r="BD89" s="7" t="n">
        <f aca="false">VLOOKUP($D89,Size!$A$2:$Z$14,20,0)</f>
        <v>0.66</v>
      </c>
      <c r="BE89" s="7" t="n">
        <f aca="false">VLOOKUP($E89,Role!$A$2:$O$9,12,0)</f>
        <v>1.25</v>
      </c>
      <c r="BF89" s="7" t="n">
        <f aca="false">VLOOKUP($C89,Type!$A$2:$B$4,2,0)</f>
        <v>1</v>
      </c>
      <c r="BG89" s="7" t="n">
        <f aca="false">VLOOKUP($D89,Size!$A$2:$Z$14,18,0)</f>
        <v>8.28567304322775</v>
      </c>
      <c r="BH89" s="7" t="n">
        <f aca="false">INT($BF89*$BG89*$BE89*$B89/2)</f>
        <v>20</v>
      </c>
      <c r="BI89" s="7" t="n">
        <f aca="false">INT(($BC89*$BF89)+($I89*$BD89))</f>
        <v>9</v>
      </c>
      <c r="BJ89" s="7" t="n">
        <f aca="false">INT((($I89*$BE89)+$BC89)*$BF89)</f>
        <v>11</v>
      </c>
      <c r="BK89" s="14"/>
      <c r="BL89" s="7" t="n">
        <f aca="false">VLOOKUP($E89,Role!$A$2:$O$9,13,0)</f>
        <v>1.25</v>
      </c>
      <c r="BM89" s="7" t="n">
        <f aca="false">VLOOKUP($E89,Role!$A$2:$O$9,11,0)</f>
        <v>0.666</v>
      </c>
      <c r="BO89" s="7" t="n">
        <f aca="false">VLOOKUP($E89,Role!$A$2:$O$9,8,0)</f>
        <v>0.75</v>
      </c>
      <c r="BP89" s="7" t="n">
        <f aca="false">VLOOKUP($E89,Role!$A$2:$O$9,9,0)</f>
        <v>0.75</v>
      </c>
      <c r="BQ89" s="7" t="n">
        <f aca="false">VLOOKUP($E89,Role!$A$2:$O$9,10,0)</f>
        <v>0.5</v>
      </c>
    </row>
    <row r="90" customFormat="false" ht="12.8" hidden="false" customHeight="false" outlineLevel="0" collapsed="false">
      <c r="B90" s="2" t="n">
        <v>4</v>
      </c>
      <c r="C90" s="3" t="s">
        <v>63</v>
      </c>
      <c r="D90" s="1" t="s">
        <v>83</v>
      </c>
      <c r="E90" s="1" t="s">
        <v>70</v>
      </c>
      <c r="F90" s="1" t="s">
        <v>79</v>
      </c>
      <c r="G90" s="1" t="s">
        <v>80</v>
      </c>
      <c r="H90" s="4" t="n">
        <f aca="false">VLOOKUP($D90,Size!$A$2:$Z$14,6,0)</f>
        <v>0</v>
      </c>
      <c r="I90" s="13" t="n">
        <f aca="false">INT(($B90*$AZ90*$AX90*$BA90)+($B90*$AY90))</f>
        <v>3</v>
      </c>
      <c r="J90" s="4" t="n">
        <f aca="false">ROUND((($B90*$AT90)+($AV90*$AU90))*$AW90,0)</f>
        <v>2</v>
      </c>
      <c r="K90" s="4" t="n">
        <f aca="false">ROUND((($B90*$AP90)+($B90*$AQ90))*$AS90,0)</f>
        <v>1</v>
      </c>
      <c r="L90" s="4" t="n">
        <f aca="false">ROUND((($B90*$AM90)+($B90*$AN90))*$AO90,0)</f>
        <v>2</v>
      </c>
      <c r="M90" s="4" t="n">
        <f aca="false">ROUND((($B90*$AG90)+($B90*$AH90))*$AI90,0)</f>
        <v>1</v>
      </c>
      <c r="N90" s="4" t="n">
        <f aca="false">ROUND((($B90*$AJ90)+($B90*$AK90))*$AL90,0)</f>
        <v>2</v>
      </c>
      <c r="O90" s="4" t="n">
        <f aca="false">INT($BO90*$B90)</f>
        <v>3</v>
      </c>
      <c r="P90" s="4" t="n">
        <f aca="false">INT($BP90*$B90)</f>
        <v>3</v>
      </c>
      <c r="Q90" s="4" t="n">
        <f aca="false">INT($BQ90*$B90*$AR90)</f>
        <v>1</v>
      </c>
      <c r="R90" s="4" t="n">
        <f aca="false">IF($R$1="WT/G",INT(POWER($BH90*$BJ90*$BI90,0.333333)),0)+IF($R$1="WT/A",INT(($BH90+$BJ90+$BI90)/3),0)+IF($R$1="WT/A2",INT(($BJ90+$BI90)/2),0)+IF($R$1="WT/W",INT(($BH90+$BJ90+$BJ90+$BI90)/4),0)+IF($R$1="WT/W2",INT(($BH90+$BJ90+$BI90+$BI90)/4),0)+IF($R$1="WT/N",INT(MIN($BH90,$BJ90,$BI90)),0)+IF($R$1="WT/M",INT(MAX($BH90,$BJ90,$BI90)),0)+IF($R$1="WT/1",INT($BH90),0)+IF($R$1="WT/2",INT($BI90),0)+IF($R$1="WT/3",INT($BJ90),0)</f>
        <v>14</v>
      </c>
      <c r="S90" s="4" t="n">
        <f aca="false">INT((10+$M90)*$BL90)</f>
        <v>13</v>
      </c>
      <c r="T90" s="4" t="n">
        <f aca="false">INT($I90*$BM90*$BF90)</f>
        <v>1</v>
      </c>
      <c r="U90" s="2" t="n">
        <f aca="false">ROUND(MAX($J90,$L90)+(MIN($J90,$L90)*$X90),0)</f>
        <v>4</v>
      </c>
      <c r="V90" s="2" t="n">
        <f aca="false">MAX(1,INT(((MIN($I90:$J90)+(MAX($I90:$J90)*$H90*$Y90)))*$Z90))</f>
        <v>3</v>
      </c>
      <c r="X90" s="5" t="n">
        <f aca="false">VLOOKUP($E90,Role!$A$2:$O$9,14,0)</f>
        <v>1</v>
      </c>
      <c r="Y90" s="5" t="n">
        <f aca="false">VLOOKUP($E90,Role!$A$2:$O$9,15,0)</f>
        <v>1</v>
      </c>
      <c r="Z90" s="5" t="n">
        <f aca="false">VLOOKUP($G90,Movement!$A$2:$C$7,3,0)</f>
        <v>1.5</v>
      </c>
      <c r="AB90" s="5" t="n">
        <f aca="false">INT(5+(($H90-1)/3))</f>
        <v>4</v>
      </c>
      <c r="AC90" s="5" t="n">
        <f aca="false">IF($AB90&lt;$I90,$I90-MAX($AB90,$B90),0)</f>
        <v>0</v>
      </c>
      <c r="AD90" s="5" t="n">
        <f aca="false">(5-ROUND(($H90-1)/3,0))</f>
        <v>5</v>
      </c>
      <c r="AE90" s="5" t="n">
        <f aca="false">IF($AD90&lt;$J90,$J90-MAX($AD90,$B90),0)</f>
        <v>0</v>
      </c>
      <c r="AG90" s="6" t="n">
        <f aca="false">VLOOKUP($F90,Category!$A$2:$AZ$20,24,0)</f>
        <v>0</v>
      </c>
      <c r="AH90" s="6" t="n">
        <f aca="false">VLOOKUP($F90,Category!$A$2:$AZ$20,26,0)</f>
        <v>0.333333333333333</v>
      </c>
      <c r="AI90" s="6" t="n">
        <f aca="false">VLOOKUP($E90,Role!$A$2:$O$9,6,0)</f>
        <v>0.666</v>
      </c>
      <c r="AJ90" s="6" t="n">
        <f aca="false">VLOOKUP($F90,Category!$A$2:$AZ$20,19,0)</f>
        <v>0.0909090909090909</v>
      </c>
      <c r="AK90" s="6" t="n">
        <f aca="false">VLOOKUP($F90,Category!$A$2:$AZ$20,21,0)</f>
        <v>0.545454545454545</v>
      </c>
      <c r="AL90" s="6" t="n">
        <f aca="false">VLOOKUP($E90,Role!$A$2:$O$9,7,0)</f>
        <v>0.666</v>
      </c>
      <c r="AM90" s="6" t="n">
        <f aca="false">VLOOKUP($F90,Category!$A$2:$AZ$20,19,0)</f>
        <v>0.0909090909090909</v>
      </c>
      <c r="AN90" s="6" t="n">
        <f aca="false">VLOOKUP($F90,Category!$A$2:$AZ$20,21,0)</f>
        <v>0.545454545454545</v>
      </c>
      <c r="AO90" s="6" t="n">
        <f aca="false">VLOOKUP($E90,Role!$A$2:$O$9,5,0)</f>
        <v>0.666</v>
      </c>
      <c r="AP90" s="6" t="n">
        <f aca="false">VLOOKUP($F90,Category!$A$2:$AZ$20,9,0)</f>
        <v>0</v>
      </c>
      <c r="AQ90" s="6" t="n">
        <f aca="false">VLOOKUP($F90,Category!$A$2:$AZ$20,11,0)</f>
        <v>0.555555555555556</v>
      </c>
      <c r="AR90" s="6" t="n">
        <f aca="false">VLOOKUP($F90,Category!$A$2:$AZ$20,10,0)</f>
        <v>0.555555555555556</v>
      </c>
      <c r="AS90" s="6" t="n">
        <f aca="false">VLOOKUP($E90,Role!$A$2:$O$9,4,0)</f>
        <v>0.666</v>
      </c>
      <c r="AT90" s="7" t="n">
        <f aca="false">VLOOKUP($F90,Category!$A$2:$AZ$20,14,0)</f>
        <v>0.416666666666667</v>
      </c>
      <c r="AU90" s="7" t="n">
        <f aca="false">VLOOKUP($F90,Category!$A$2:$AZ$20,16,0)</f>
        <v>0.25</v>
      </c>
      <c r="AV90" s="7" t="n">
        <f aca="false">VLOOKUP($D90,Size!$A$2:$Z$14,17,0)</f>
        <v>3</v>
      </c>
      <c r="AW90" s="7" t="n">
        <f aca="false">VLOOKUP($E90,Role!$A$2:$O$9,3,0)</f>
        <v>0.666</v>
      </c>
      <c r="AX90" s="7" t="n">
        <f aca="false">VLOOKUP($F90,Category!$A$2:$AZ$20,29,0)</f>
        <v>0.333333333333333</v>
      </c>
      <c r="AY90" s="7" t="n">
        <f aca="false">VLOOKUP($F90,Category!$A$2:$AZ$20,31,0)</f>
        <v>0.333333333333333</v>
      </c>
      <c r="AZ90" s="7" t="n">
        <f aca="false">VLOOKUP($D90,Size!$A$2:$Z$14,16,0)</f>
        <v>2</v>
      </c>
      <c r="BA90" s="7" t="n">
        <f aca="false">VLOOKUP($E90,Role!$A$2:$O$9,2,0)</f>
        <v>0.666</v>
      </c>
      <c r="BC90" s="7" t="n">
        <f aca="false">VLOOKUP($D90,Size!$A$2:$Z$14,19,0)</f>
        <v>9</v>
      </c>
      <c r="BD90" s="7" t="n">
        <f aca="false">VLOOKUP($D90,Size!$A$2:$Z$14,20,0)</f>
        <v>0.75</v>
      </c>
      <c r="BE90" s="7" t="n">
        <f aca="false">VLOOKUP($E90,Role!$A$2:$O$9,12,0)</f>
        <v>1.25</v>
      </c>
      <c r="BF90" s="7" t="n">
        <f aca="false">VLOOKUP($C90,Type!$A$2:$B$4,2,0)</f>
        <v>1</v>
      </c>
      <c r="BG90" s="7" t="n">
        <f aca="false">VLOOKUP($D90,Size!$A$2:$Z$14,18,0)</f>
        <v>10.0928271821888</v>
      </c>
      <c r="BH90" s="7" t="n">
        <f aca="false">INT($BF90*$BG90*$BE90*$B90/2)</f>
        <v>25</v>
      </c>
      <c r="BI90" s="7" t="n">
        <f aca="false">INT(($BC90*$BF90)+($I90*$BD90))</f>
        <v>11</v>
      </c>
      <c r="BJ90" s="7" t="n">
        <f aca="false">INT((($I90*$BE90)+$BC90)*$BF90)</f>
        <v>12</v>
      </c>
      <c r="BK90" s="14"/>
      <c r="BL90" s="7" t="n">
        <f aca="false">VLOOKUP($E90,Role!$A$2:$O$9,13,0)</f>
        <v>1.25</v>
      </c>
      <c r="BM90" s="7" t="n">
        <f aca="false">VLOOKUP($E90,Role!$A$2:$O$9,11,0)</f>
        <v>0.666</v>
      </c>
      <c r="BO90" s="7" t="n">
        <f aca="false">VLOOKUP($E90,Role!$A$2:$O$9,8,0)</f>
        <v>0.75</v>
      </c>
      <c r="BP90" s="7" t="n">
        <f aca="false">VLOOKUP($E90,Role!$A$2:$O$9,9,0)</f>
        <v>0.75</v>
      </c>
      <c r="BQ90" s="7" t="n">
        <f aca="false">VLOOKUP($E90,Role!$A$2:$O$9,10,0)</f>
        <v>0.5</v>
      </c>
    </row>
    <row r="91" customFormat="false" ht="12.8" hidden="false" customHeight="false" outlineLevel="0" collapsed="false">
      <c r="B91" s="2" t="n">
        <v>4</v>
      </c>
      <c r="C91" s="3" t="s">
        <v>63</v>
      </c>
      <c r="D91" s="1" t="s">
        <v>64</v>
      </c>
      <c r="E91" s="1" t="s">
        <v>70</v>
      </c>
      <c r="F91" s="1" t="s">
        <v>79</v>
      </c>
      <c r="G91" s="1" t="s">
        <v>80</v>
      </c>
      <c r="H91" s="4" t="n">
        <f aca="false">VLOOKUP($D91,Size!$A$2:$Z$14,6,0)</f>
        <v>1</v>
      </c>
      <c r="I91" s="13" t="n">
        <f aca="false">INT(($B91*$AZ91*$AX91*$BA91)+($B91*$AY91))</f>
        <v>3</v>
      </c>
      <c r="J91" s="4" t="n">
        <f aca="false">ROUND((($B91*$AT91)+($AV91*$AU91))*$AW91,0)</f>
        <v>2</v>
      </c>
      <c r="K91" s="4" t="n">
        <f aca="false">ROUND((($B91*$AP91)+($B91*$AQ91))*$AS91,0)</f>
        <v>1</v>
      </c>
      <c r="L91" s="4" t="n">
        <f aca="false">ROUND((($B91*$AM91)+($B91*$AN91))*$AO91,0)</f>
        <v>2</v>
      </c>
      <c r="M91" s="4" t="n">
        <f aca="false">ROUND((($B91*$AG91)+($B91*$AH91))*$AI91,0)</f>
        <v>1</v>
      </c>
      <c r="N91" s="4" t="n">
        <f aca="false">ROUND((($B91*$AJ91)+($B91*$AK91))*$AL91,0)</f>
        <v>2</v>
      </c>
      <c r="O91" s="4" t="n">
        <f aca="false">INT($BO91*$B91)</f>
        <v>3</v>
      </c>
      <c r="P91" s="4" t="n">
        <f aca="false">INT($BP91*$B91)</f>
        <v>3</v>
      </c>
      <c r="Q91" s="4" t="n">
        <f aca="false">INT($BQ91*$B91*$AR91)</f>
        <v>1</v>
      </c>
      <c r="R91" s="4" t="n">
        <f aca="false">IF($R$1="WT/G",INT(POWER($BH91*$BJ91*$BI91,0.333333)),0)+IF($R$1="WT/A",INT(($BH91+$BJ91+$BI91)/3),0)+IF($R$1="WT/A2",INT(($BJ91+$BI91)/2),0)+IF($R$1="WT/W",INT(($BH91+$BJ91+$BJ91+$BI91)/4),0)+IF($R$1="WT/W2",INT(($BH91+$BJ91+$BI91+$BI91)/4),0)+IF($R$1="WT/N",INT(MIN($BH91,$BJ91,$BI91)),0)+IF($R$1="WT/M",INT(MAX($BH91,$BJ91,$BI91)),0)+IF($R$1="WT/1",INT($BH91),0)+IF($R$1="WT/2",INT($BI91),0)+IF($R$1="WT/3",INT($BJ91),0)</f>
        <v>17</v>
      </c>
      <c r="S91" s="4" t="n">
        <f aca="false">INT((10+$M91)*$BL91)</f>
        <v>13</v>
      </c>
      <c r="T91" s="4" t="n">
        <f aca="false">INT($I91*$BM91*$BF91)</f>
        <v>1</v>
      </c>
      <c r="U91" s="2" t="n">
        <f aca="false">ROUND(MAX($J91,$L91)+(MIN($J91,$L91)*$X91),0)</f>
        <v>4</v>
      </c>
      <c r="V91" s="2" t="n">
        <f aca="false">MAX(1,INT(((MIN($I91:$J91)+(MAX($I91:$J91)*$H91*$Y91)))*$Z91))</f>
        <v>7</v>
      </c>
      <c r="X91" s="5" t="n">
        <f aca="false">VLOOKUP($E91,Role!$A$2:$O$9,14,0)</f>
        <v>1</v>
      </c>
      <c r="Y91" s="5" t="n">
        <f aca="false">VLOOKUP($E91,Role!$A$2:$O$9,15,0)</f>
        <v>1</v>
      </c>
      <c r="Z91" s="5" t="n">
        <f aca="false">VLOOKUP($G91,Movement!$A$2:$C$7,3,0)</f>
        <v>1.5</v>
      </c>
      <c r="AB91" s="5" t="n">
        <f aca="false">INT(5+(($H91-1)/3))</f>
        <v>5</v>
      </c>
      <c r="AC91" s="5" t="n">
        <f aca="false">IF($AB91&lt;$I91,$I91-MAX($AB91,$B91),0)</f>
        <v>0</v>
      </c>
      <c r="AD91" s="5" t="n">
        <f aca="false">(5-ROUND(($H91-1)/3,0))</f>
        <v>5</v>
      </c>
      <c r="AE91" s="5" t="n">
        <f aca="false">IF($AD91&lt;$J91,$J91-MAX($AD91,$B91),0)</f>
        <v>0</v>
      </c>
      <c r="AG91" s="6" t="n">
        <f aca="false">VLOOKUP($F91,Category!$A$2:$AZ$20,24,0)</f>
        <v>0</v>
      </c>
      <c r="AH91" s="6" t="n">
        <f aca="false">VLOOKUP($F91,Category!$A$2:$AZ$20,26,0)</f>
        <v>0.333333333333333</v>
      </c>
      <c r="AI91" s="6" t="n">
        <f aca="false">VLOOKUP($E91,Role!$A$2:$O$9,6,0)</f>
        <v>0.666</v>
      </c>
      <c r="AJ91" s="6" t="n">
        <f aca="false">VLOOKUP($F91,Category!$A$2:$AZ$20,19,0)</f>
        <v>0.0909090909090909</v>
      </c>
      <c r="AK91" s="6" t="n">
        <f aca="false">VLOOKUP($F91,Category!$A$2:$AZ$20,21,0)</f>
        <v>0.545454545454545</v>
      </c>
      <c r="AL91" s="6" t="n">
        <f aca="false">VLOOKUP($E91,Role!$A$2:$O$9,7,0)</f>
        <v>0.666</v>
      </c>
      <c r="AM91" s="6" t="n">
        <f aca="false">VLOOKUP($F91,Category!$A$2:$AZ$20,19,0)</f>
        <v>0.0909090909090909</v>
      </c>
      <c r="AN91" s="6" t="n">
        <f aca="false">VLOOKUP($F91,Category!$A$2:$AZ$20,21,0)</f>
        <v>0.545454545454545</v>
      </c>
      <c r="AO91" s="6" t="n">
        <f aca="false">VLOOKUP($E91,Role!$A$2:$O$9,5,0)</f>
        <v>0.666</v>
      </c>
      <c r="AP91" s="6" t="n">
        <f aca="false">VLOOKUP($F91,Category!$A$2:$AZ$20,9,0)</f>
        <v>0</v>
      </c>
      <c r="AQ91" s="6" t="n">
        <f aca="false">VLOOKUP($F91,Category!$A$2:$AZ$20,11,0)</f>
        <v>0.555555555555556</v>
      </c>
      <c r="AR91" s="6" t="n">
        <f aca="false">VLOOKUP($F91,Category!$A$2:$AZ$20,10,0)</f>
        <v>0.555555555555556</v>
      </c>
      <c r="AS91" s="6" t="n">
        <f aca="false">VLOOKUP($E91,Role!$A$2:$O$9,4,0)</f>
        <v>0.666</v>
      </c>
      <c r="AT91" s="7" t="n">
        <f aca="false">VLOOKUP($F91,Category!$A$2:$AZ$20,14,0)</f>
        <v>0.416666666666667</v>
      </c>
      <c r="AU91" s="7" t="n">
        <f aca="false">VLOOKUP($F91,Category!$A$2:$AZ$20,16,0)</f>
        <v>0.25</v>
      </c>
      <c r="AV91" s="7" t="n">
        <f aca="false">VLOOKUP($D91,Size!$A$2:$Z$14,17,0)</f>
        <v>3</v>
      </c>
      <c r="AW91" s="7" t="n">
        <f aca="false">VLOOKUP($E91,Role!$A$2:$O$9,3,0)</f>
        <v>0.666</v>
      </c>
      <c r="AX91" s="7" t="n">
        <f aca="false">VLOOKUP($F91,Category!$A$2:$AZ$20,29,0)</f>
        <v>0.333333333333333</v>
      </c>
      <c r="AY91" s="7" t="n">
        <f aca="false">VLOOKUP($F91,Category!$A$2:$AZ$20,31,0)</f>
        <v>0.333333333333333</v>
      </c>
      <c r="AZ91" s="7" t="n">
        <f aca="false">VLOOKUP($D91,Size!$A$2:$Z$14,16,0)</f>
        <v>3</v>
      </c>
      <c r="BA91" s="7" t="n">
        <f aca="false">VLOOKUP($E91,Role!$A$2:$O$9,2,0)</f>
        <v>0.666</v>
      </c>
      <c r="BC91" s="7" t="n">
        <f aca="false">VLOOKUP($D91,Size!$A$2:$Z$14,19,0)</f>
        <v>10</v>
      </c>
      <c r="BD91" s="7" t="n">
        <f aca="false">VLOOKUP($D91,Size!$A$2:$Z$14,20,0)</f>
        <v>1</v>
      </c>
      <c r="BE91" s="7" t="n">
        <f aca="false">VLOOKUP($E91,Role!$A$2:$O$9,12,0)</f>
        <v>1.25</v>
      </c>
      <c r="BF91" s="7" t="n">
        <f aca="false">VLOOKUP($C91,Type!$A$2:$B$4,2,0)</f>
        <v>1</v>
      </c>
      <c r="BG91" s="7" t="n">
        <f aca="false">VLOOKUP($D91,Size!$A$2:$Z$14,18,0)</f>
        <v>13</v>
      </c>
      <c r="BH91" s="7" t="n">
        <f aca="false">INT($BF91*$BG91*$BE91*$B91/2)</f>
        <v>32</v>
      </c>
      <c r="BI91" s="7" t="n">
        <f aca="false">INT(($BC91*$BF91)+($I91*$BD91))</f>
        <v>13</v>
      </c>
      <c r="BJ91" s="7" t="n">
        <f aca="false">INT((($I91*$BE91)+$BC91)*$BF91)</f>
        <v>13</v>
      </c>
      <c r="BK91" s="14"/>
      <c r="BL91" s="7" t="n">
        <f aca="false">VLOOKUP($E91,Role!$A$2:$O$9,13,0)</f>
        <v>1.25</v>
      </c>
      <c r="BM91" s="7" t="n">
        <f aca="false">VLOOKUP($E91,Role!$A$2:$O$9,11,0)</f>
        <v>0.666</v>
      </c>
      <c r="BO91" s="7" t="n">
        <f aca="false">VLOOKUP($E91,Role!$A$2:$O$9,8,0)</f>
        <v>0.75</v>
      </c>
      <c r="BP91" s="7" t="n">
        <f aca="false">VLOOKUP($E91,Role!$A$2:$O$9,9,0)</f>
        <v>0.75</v>
      </c>
      <c r="BQ91" s="7" t="n">
        <f aca="false">VLOOKUP($E91,Role!$A$2:$O$9,10,0)</f>
        <v>0.5</v>
      </c>
    </row>
    <row r="92" customFormat="false" ht="12.8" hidden="false" customHeight="false" outlineLevel="0" collapsed="false">
      <c r="B92" s="2" t="n">
        <v>4</v>
      </c>
      <c r="C92" s="3" t="s">
        <v>63</v>
      </c>
      <c r="D92" s="1" t="s">
        <v>84</v>
      </c>
      <c r="E92" s="1" t="s">
        <v>70</v>
      </c>
      <c r="F92" s="1" t="s">
        <v>79</v>
      </c>
      <c r="G92" s="1" t="s">
        <v>80</v>
      </c>
      <c r="H92" s="4" t="n">
        <f aca="false">VLOOKUP($D92,Size!$A$2:$Z$14,6,0)</f>
        <v>2</v>
      </c>
      <c r="I92" s="13" t="n">
        <f aca="false">INT(($B92*$AZ92*$AX92*$BA92)+($B92*$AY92))</f>
        <v>3</v>
      </c>
      <c r="J92" s="4" t="n">
        <f aca="false">ROUND((($B92*$AT92)+($AV92*$AU92))*$AW92,0)</f>
        <v>2</v>
      </c>
      <c r="K92" s="4" t="n">
        <f aca="false">ROUND((($B92*$AP92)+($B92*$AQ92))*$AS92,0)</f>
        <v>1</v>
      </c>
      <c r="L92" s="4" t="n">
        <f aca="false">ROUND((($B92*$AM92)+($B92*$AN92))*$AO92,0)</f>
        <v>2</v>
      </c>
      <c r="M92" s="4" t="n">
        <f aca="false">ROUND((($B92*$AG92)+($B92*$AH92))*$AI92,0)</f>
        <v>1</v>
      </c>
      <c r="N92" s="4" t="n">
        <f aca="false">ROUND((($B92*$AJ92)+($B92*$AK92))*$AL92,0)</f>
        <v>2</v>
      </c>
      <c r="O92" s="4" t="n">
        <f aca="false">INT($BO92*$B92)</f>
        <v>3</v>
      </c>
      <c r="P92" s="4" t="n">
        <f aca="false">INT($BP92*$B92)</f>
        <v>3</v>
      </c>
      <c r="Q92" s="4" t="n">
        <f aca="false">INT($BQ92*$B92*$AR92)</f>
        <v>1</v>
      </c>
      <c r="R92" s="4" t="n">
        <f aca="false">IF($R$1="WT/G",INT(POWER($BH92*$BJ92*$BI92,0.333333)),0)+IF($R$1="WT/A",INT(($BH92+$BJ92+$BI92)/3),0)+IF($R$1="WT/A2",INT(($BJ92+$BI92)/2),0)+IF($R$1="WT/W",INT(($BH92+$BJ92+$BJ92+$BI92)/4),0)+IF($R$1="WT/W2",INT(($BH92+$BJ92+$BI92+$BI92)/4),0)+IF($R$1="WT/N",INT(MIN($BH92,$BJ92,$BI92)),0)+IF($R$1="WT/M",INT(MAX($BH92,$BJ92,$BI92)),0)+IF($R$1="WT/1",INT($BH92),0)+IF($R$1="WT/2",INT($BI92),0)+IF($R$1="WT/3",INT($BJ92),0)</f>
        <v>21</v>
      </c>
      <c r="S92" s="4" t="n">
        <f aca="false">INT((10+$M92)*$BL92)</f>
        <v>13</v>
      </c>
      <c r="T92" s="4" t="n">
        <f aca="false">INT($I92*$BM92*$BF92)</f>
        <v>1</v>
      </c>
      <c r="U92" s="2" t="n">
        <f aca="false">ROUND(MAX($J92,$L92)+(MIN($J92,$L92)*$X92),0)</f>
        <v>4</v>
      </c>
      <c r="V92" s="2" t="n">
        <f aca="false">MAX(1,INT(((MIN($I92:$J92)+(MAX($I92:$J92)*$H92*$Y92)))*$Z92))</f>
        <v>12</v>
      </c>
      <c r="X92" s="5" t="n">
        <f aca="false">VLOOKUP($E92,Role!$A$2:$O$9,14,0)</f>
        <v>1</v>
      </c>
      <c r="Y92" s="5" t="n">
        <f aca="false">VLOOKUP($E92,Role!$A$2:$O$9,15,0)</f>
        <v>1</v>
      </c>
      <c r="Z92" s="5" t="n">
        <f aca="false">VLOOKUP($G92,Movement!$A$2:$C$7,3,0)</f>
        <v>1.5</v>
      </c>
      <c r="AB92" s="5" t="n">
        <f aca="false">INT(5+(($H92-1)/3))</f>
        <v>5</v>
      </c>
      <c r="AC92" s="5" t="n">
        <f aca="false">IF($AB92&lt;$I92,$I92-MAX($AB92,$B92),0)</f>
        <v>0</v>
      </c>
      <c r="AD92" s="5" t="n">
        <f aca="false">(5-ROUND(($H92-1)/3,0))</f>
        <v>5</v>
      </c>
      <c r="AE92" s="5" t="n">
        <f aca="false">IF($AD92&lt;$J92,$J92-MAX($AD92,$B92),0)</f>
        <v>0</v>
      </c>
      <c r="AG92" s="6" t="n">
        <f aca="false">VLOOKUP($F92,Category!$A$2:$AZ$20,24,0)</f>
        <v>0</v>
      </c>
      <c r="AH92" s="6" t="n">
        <f aca="false">VLOOKUP($F92,Category!$A$2:$AZ$20,26,0)</f>
        <v>0.333333333333333</v>
      </c>
      <c r="AI92" s="6" t="n">
        <f aca="false">VLOOKUP($E92,Role!$A$2:$O$9,6,0)</f>
        <v>0.666</v>
      </c>
      <c r="AJ92" s="6" t="n">
        <f aca="false">VLOOKUP($F92,Category!$A$2:$AZ$20,19,0)</f>
        <v>0.0909090909090909</v>
      </c>
      <c r="AK92" s="6" t="n">
        <f aca="false">VLOOKUP($F92,Category!$A$2:$AZ$20,21,0)</f>
        <v>0.545454545454545</v>
      </c>
      <c r="AL92" s="6" t="n">
        <f aca="false">VLOOKUP($E92,Role!$A$2:$O$9,7,0)</f>
        <v>0.666</v>
      </c>
      <c r="AM92" s="6" t="n">
        <f aca="false">VLOOKUP($F92,Category!$A$2:$AZ$20,19,0)</f>
        <v>0.0909090909090909</v>
      </c>
      <c r="AN92" s="6" t="n">
        <f aca="false">VLOOKUP($F92,Category!$A$2:$AZ$20,21,0)</f>
        <v>0.545454545454545</v>
      </c>
      <c r="AO92" s="6" t="n">
        <f aca="false">VLOOKUP($E92,Role!$A$2:$O$9,5,0)</f>
        <v>0.666</v>
      </c>
      <c r="AP92" s="6" t="n">
        <f aca="false">VLOOKUP($F92,Category!$A$2:$AZ$20,9,0)</f>
        <v>0</v>
      </c>
      <c r="AQ92" s="6" t="n">
        <f aca="false">VLOOKUP($F92,Category!$A$2:$AZ$20,11,0)</f>
        <v>0.555555555555556</v>
      </c>
      <c r="AR92" s="6" t="n">
        <f aca="false">VLOOKUP($F92,Category!$A$2:$AZ$20,10,0)</f>
        <v>0.555555555555556</v>
      </c>
      <c r="AS92" s="6" t="n">
        <f aca="false">VLOOKUP($E92,Role!$A$2:$O$9,4,0)</f>
        <v>0.666</v>
      </c>
      <c r="AT92" s="7" t="n">
        <f aca="false">VLOOKUP($F92,Category!$A$2:$AZ$20,14,0)</f>
        <v>0.416666666666667</v>
      </c>
      <c r="AU92" s="7" t="n">
        <f aca="false">VLOOKUP($F92,Category!$A$2:$AZ$20,16,0)</f>
        <v>0.25</v>
      </c>
      <c r="AV92" s="7" t="n">
        <f aca="false">VLOOKUP($D92,Size!$A$2:$Z$14,17,0)</f>
        <v>3</v>
      </c>
      <c r="AW92" s="7" t="n">
        <f aca="false">VLOOKUP($E92,Role!$A$2:$O$9,3,0)</f>
        <v>0.666</v>
      </c>
      <c r="AX92" s="7" t="n">
        <f aca="false">VLOOKUP($F92,Category!$A$2:$AZ$20,29,0)</f>
        <v>0.333333333333333</v>
      </c>
      <c r="AY92" s="7" t="n">
        <f aca="false">VLOOKUP($F92,Category!$A$2:$AZ$20,31,0)</f>
        <v>0.333333333333333</v>
      </c>
      <c r="AZ92" s="7" t="n">
        <f aca="false">VLOOKUP($D92,Size!$A$2:$Z$14,16,0)</f>
        <v>3</v>
      </c>
      <c r="BA92" s="7" t="n">
        <f aca="false">VLOOKUP($E92,Role!$A$2:$O$9,2,0)</f>
        <v>0.666</v>
      </c>
      <c r="BC92" s="7" t="n">
        <f aca="false">VLOOKUP($D92,Size!$A$2:$Z$14,19,0)</f>
        <v>12</v>
      </c>
      <c r="BD92" s="7" t="n">
        <f aca="false">VLOOKUP($D92,Size!$A$2:$Z$14,20,0)</f>
        <v>1.5</v>
      </c>
      <c r="BE92" s="7" t="n">
        <f aca="false">VLOOKUP($E92,Role!$A$2:$O$9,12,0)</f>
        <v>1.25</v>
      </c>
      <c r="BF92" s="7" t="n">
        <f aca="false">VLOOKUP($C92,Type!$A$2:$B$4,2,0)</f>
        <v>1</v>
      </c>
      <c r="BG92" s="7" t="n">
        <f aca="false">VLOOKUP($D92,Size!$A$2:$Z$14,18,0)</f>
        <v>16.2236679323423</v>
      </c>
      <c r="BH92" s="7" t="n">
        <f aca="false">INT($BF92*$BG92*$BE92*$B92/2)</f>
        <v>40</v>
      </c>
      <c r="BI92" s="7" t="n">
        <f aca="false">INT(($BC92*$BF92)+($I92*$BD92))</f>
        <v>16</v>
      </c>
      <c r="BJ92" s="7" t="n">
        <f aca="false">INT((($I92*$BE92)+$BC92)*$BF92)</f>
        <v>15</v>
      </c>
      <c r="BK92" s="14"/>
      <c r="BL92" s="7" t="n">
        <f aca="false">VLOOKUP($E92,Role!$A$2:$O$9,13,0)</f>
        <v>1.25</v>
      </c>
      <c r="BM92" s="7" t="n">
        <f aca="false">VLOOKUP($E92,Role!$A$2:$O$9,11,0)</f>
        <v>0.666</v>
      </c>
      <c r="BO92" s="7" t="n">
        <f aca="false">VLOOKUP($E92,Role!$A$2:$O$9,8,0)</f>
        <v>0.75</v>
      </c>
      <c r="BP92" s="7" t="n">
        <f aca="false">VLOOKUP($E92,Role!$A$2:$O$9,9,0)</f>
        <v>0.75</v>
      </c>
      <c r="BQ92" s="7" t="n">
        <f aca="false">VLOOKUP($E92,Role!$A$2:$O$9,10,0)</f>
        <v>0.5</v>
      </c>
    </row>
    <row r="93" customFormat="false" ht="12.8" hidden="false" customHeight="false" outlineLevel="0" collapsed="false">
      <c r="B93" s="2" t="n">
        <v>4</v>
      </c>
      <c r="C93" s="3" t="s">
        <v>63</v>
      </c>
      <c r="D93" s="1" t="s">
        <v>85</v>
      </c>
      <c r="E93" s="1" t="s">
        <v>70</v>
      </c>
      <c r="F93" s="1" t="s">
        <v>79</v>
      </c>
      <c r="G93" s="1" t="s">
        <v>80</v>
      </c>
      <c r="H93" s="4" t="n">
        <f aca="false">VLOOKUP($D93,Size!$A$2:$Z$14,6,0)</f>
        <v>3</v>
      </c>
      <c r="I93" s="13" t="n">
        <f aca="false">INT(($B93*$AZ93*$AX93*$BA93)+($B93*$AY93))</f>
        <v>4</v>
      </c>
      <c r="J93" s="4" t="n">
        <f aca="false">ROUND((($B93*$AT93)+($AV93*$AU93))*$AW93,0)</f>
        <v>1</v>
      </c>
      <c r="K93" s="4" t="n">
        <f aca="false">ROUND((($B93*$AP93)+($B93*$AQ93))*$AS93,0)</f>
        <v>1</v>
      </c>
      <c r="L93" s="4" t="n">
        <f aca="false">ROUND((($B93*$AM93)+($B93*$AN93))*$AO93,0)</f>
        <v>2</v>
      </c>
      <c r="M93" s="4" t="n">
        <f aca="false">ROUND((($B93*$AG93)+($B93*$AH93))*$AI93,0)</f>
        <v>1</v>
      </c>
      <c r="N93" s="4" t="n">
        <f aca="false">ROUND((($B93*$AJ93)+($B93*$AK93))*$AL93,0)</f>
        <v>2</v>
      </c>
      <c r="O93" s="4" t="n">
        <f aca="false">INT($BO93*$B93)</f>
        <v>3</v>
      </c>
      <c r="P93" s="4" t="n">
        <f aca="false">INT($BP93*$B93)</f>
        <v>3</v>
      </c>
      <c r="Q93" s="4" t="n">
        <f aca="false">INT($BQ93*$B93*$AR93)</f>
        <v>1</v>
      </c>
      <c r="R93" s="4" t="n">
        <f aca="false">IF($R$1="WT/G",INT(POWER($BH93*$BJ93*$BI93,0.333333)),0)+IF($R$1="WT/A",INT(($BH93+$BJ93+$BI93)/3),0)+IF($R$1="WT/A2",INT(($BJ93+$BI93)/2),0)+IF($R$1="WT/W",INT(($BH93+$BJ93+$BJ93+$BI93)/4),0)+IF($R$1="WT/W2",INT(($BH93+$BJ93+$BI93+$BI93)/4),0)+IF($R$1="WT/N",INT(MIN($BH93,$BJ93,$BI93)),0)+IF($R$1="WT/M",INT(MAX($BH93,$BJ93,$BI93)),0)+IF($R$1="WT/1",INT($BH93),0)+IF($R$1="WT/2",INT($BI93),0)+IF($R$1="WT/3",INT($BJ93),0)</f>
        <v>29</v>
      </c>
      <c r="S93" s="4" t="n">
        <f aca="false">INT((10+$M93)*$BL93)</f>
        <v>13</v>
      </c>
      <c r="T93" s="4" t="n">
        <f aca="false">INT($I93*$BM93*$BF93)</f>
        <v>2</v>
      </c>
      <c r="U93" s="2" t="n">
        <f aca="false">ROUND(MAX($J93,$L93)+(MIN($J93,$L93)*$X93),0)</f>
        <v>3</v>
      </c>
      <c r="V93" s="2" t="n">
        <f aca="false">MAX(1,INT(((MIN($I93:$J93)+(MAX($I93:$J93)*$H93*$Y93)))*$Z93))</f>
        <v>19</v>
      </c>
      <c r="X93" s="5" t="n">
        <f aca="false">VLOOKUP($E93,Role!$A$2:$O$9,14,0)</f>
        <v>1</v>
      </c>
      <c r="Y93" s="5" t="n">
        <f aca="false">VLOOKUP($E93,Role!$A$2:$O$9,15,0)</f>
        <v>1</v>
      </c>
      <c r="Z93" s="5" t="n">
        <f aca="false">VLOOKUP($G93,Movement!$A$2:$C$7,3,0)</f>
        <v>1.5</v>
      </c>
      <c r="AB93" s="5" t="n">
        <f aca="false">INT(5+(($H93-1)/3))</f>
        <v>5</v>
      </c>
      <c r="AC93" s="5" t="n">
        <f aca="false">IF($AB93&lt;$I93,$I93-MAX($AB93,$B93),0)</f>
        <v>0</v>
      </c>
      <c r="AD93" s="5" t="n">
        <f aca="false">(5-ROUND(($H93-1)/3,0))</f>
        <v>4</v>
      </c>
      <c r="AE93" s="5" t="n">
        <f aca="false">IF($AD93&lt;$J93,$J93-MAX($AD93,$B93),0)</f>
        <v>0</v>
      </c>
      <c r="AG93" s="6" t="n">
        <f aca="false">VLOOKUP($F93,Category!$A$2:$AZ$20,24,0)</f>
        <v>0</v>
      </c>
      <c r="AH93" s="6" t="n">
        <f aca="false">VLOOKUP($F93,Category!$A$2:$AZ$20,26,0)</f>
        <v>0.333333333333333</v>
      </c>
      <c r="AI93" s="6" t="n">
        <f aca="false">VLOOKUP($E93,Role!$A$2:$O$9,6,0)</f>
        <v>0.666</v>
      </c>
      <c r="AJ93" s="6" t="n">
        <f aca="false">VLOOKUP($F93,Category!$A$2:$AZ$20,19,0)</f>
        <v>0.0909090909090909</v>
      </c>
      <c r="AK93" s="6" t="n">
        <f aca="false">VLOOKUP($F93,Category!$A$2:$AZ$20,21,0)</f>
        <v>0.545454545454545</v>
      </c>
      <c r="AL93" s="6" t="n">
        <f aca="false">VLOOKUP($E93,Role!$A$2:$O$9,7,0)</f>
        <v>0.666</v>
      </c>
      <c r="AM93" s="6" t="n">
        <f aca="false">VLOOKUP($F93,Category!$A$2:$AZ$20,19,0)</f>
        <v>0.0909090909090909</v>
      </c>
      <c r="AN93" s="6" t="n">
        <f aca="false">VLOOKUP($F93,Category!$A$2:$AZ$20,21,0)</f>
        <v>0.545454545454545</v>
      </c>
      <c r="AO93" s="6" t="n">
        <f aca="false">VLOOKUP($E93,Role!$A$2:$O$9,5,0)</f>
        <v>0.666</v>
      </c>
      <c r="AP93" s="6" t="n">
        <f aca="false">VLOOKUP($F93,Category!$A$2:$AZ$20,9,0)</f>
        <v>0</v>
      </c>
      <c r="AQ93" s="6" t="n">
        <f aca="false">VLOOKUP($F93,Category!$A$2:$AZ$20,11,0)</f>
        <v>0.555555555555556</v>
      </c>
      <c r="AR93" s="6" t="n">
        <f aca="false">VLOOKUP($F93,Category!$A$2:$AZ$20,10,0)</f>
        <v>0.555555555555556</v>
      </c>
      <c r="AS93" s="6" t="n">
        <f aca="false">VLOOKUP($E93,Role!$A$2:$O$9,4,0)</f>
        <v>0.666</v>
      </c>
      <c r="AT93" s="7" t="n">
        <f aca="false">VLOOKUP($F93,Category!$A$2:$AZ$20,14,0)</f>
        <v>0.416666666666667</v>
      </c>
      <c r="AU93" s="7" t="n">
        <f aca="false">VLOOKUP($F93,Category!$A$2:$AZ$20,16,0)</f>
        <v>0.25</v>
      </c>
      <c r="AV93" s="7" t="n">
        <f aca="false">VLOOKUP($D93,Size!$A$2:$Z$14,17,0)</f>
        <v>2</v>
      </c>
      <c r="AW93" s="7" t="n">
        <f aca="false">VLOOKUP($E93,Role!$A$2:$O$9,3,0)</f>
        <v>0.666</v>
      </c>
      <c r="AX93" s="7" t="n">
        <f aca="false">VLOOKUP($F93,Category!$A$2:$AZ$20,29,0)</f>
        <v>0.333333333333333</v>
      </c>
      <c r="AY93" s="7" t="n">
        <f aca="false">VLOOKUP($F93,Category!$A$2:$AZ$20,31,0)</f>
        <v>0.333333333333333</v>
      </c>
      <c r="AZ93" s="7" t="n">
        <f aca="false">VLOOKUP($D93,Size!$A$2:$Z$14,16,0)</f>
        <v>4</v>
      </c>
      <c r="BA93" s="7" t="n">
        <f aca="false">VLOOKUP($E93,Role!$A$2:$O$9,2,0)</f>
        <v>0.666</v>
      </c>
      <c r="BC93" s="7" t="n">
        <f aca="false">VLOOKUP($D93,Size!$A$2:$Z$14,19,0)</f>
        <v>14</v>
      </c>
      <c r="BD93" s="7" t="n">
        <f aca="false">VLOOKUP($D93,Size!$A$2:$Z$14,20,0)</f>
        <v>2</v>
      </c>
      <c r="BE93" s="7" t="n">
        <f aca="false">VLOOKUP($E93,Role!$A$2:$O$9,12,0)</f>
        <v>1.25</v>
      </c>
      <c r="BF93" s="7" t="n">
        <f aca="false">VLOOKUP($C93,Type!$A$2:$B$4,2,0)</f>
        <v>1</v>
      </c>
      <c r="BG93" s="7" t="n">
        <f aca="false">VLOOKUP($D93,Size!$A$2:$Z$14,18,0)</f>
        <v>21.7830216372384</v>
      </c>
      <c r="BH93" s="7" t="n">
        <f aca="false">INT($BF93*$BG93*$BE93*$B93/2)</f>
        <v>54</v>
      </c>
      <c r="BI93" s="7" t="n">
        <f aca="false">INT(($BC93*$BF93)+($I93*$BD93))</f>
        <v>22</v>
      </c>
      <c r="BJ93" s="7" t="n">
        <f aca="false">INT((($I93*$BE93)+$BC93)*$BF93)</f>
        <v>19</v>
      </c>
      <c r="BK93" s="14"/>
      <c r="BL93" s="7" t="n">
        <f aca="false">VLOOKUP($E93,Role!$A$2:$O$9,13,0)</f>
        <v>1.25</v>
      </c>
      <c r="BM93" s="7" t="n">
        <f aca="false">VLOOKUP($E93,Role!$A$2:$O$9,11,0)</f>
        <v>0.666</v>
      </c>
      <c r="BO93" s="7" t="n">
        <f aca="false">VLOOKUP($E93,Role!$A$2:$O$9,8,0)</f>
        <v>0.75</v>
      </c>
      <c r="BP93" s="7" t="n">
        <f aca="false">VLOOKUP($E93,Role!$A$2:$O$9,9,0)</f>
        <v>0.75</v>
      </c>
      <c r="BQ93" s="7" t="n">
        <f aca="false">VLOOKUP($E93,Role!$A$2:$O$9,10,0)</f>
        <v>0.5</v>
      </c>
    </row>
    <row r="94" customFormat="false" ht="12.8" hidden="false" customHeight="false" outlineLevel="0" collapsed="false">
      <c r="B94" s="2" t="n">
        <v>4</v>
      </c>
      <c r="C94" s="3" t="s">
        <v>63</v>
      </c>
      <c r="D94" s="1" t="s">
        <v>86</v>
      </c>
      <c r="E94" s="1" t="s">
        <v>70</v>
      </c>
      <c r="F94" s="1" t="s">
        <v>79</v>
      </c>
      <c r="G94" s="1" t="s">
        <v>80</v>
      </c>
      <c r="H94" s="4" t="n">
        <f aca="false">VLOOKUP($D94,Size!$A$2:$Z$14,6,0)</f>
        <v>4</v>
      </c>
      <c r="I94" s="13" t="n">
        <f aca="false">INT(($B94*$AZ94*$AX94*$BA94)+($B94*$AY94))</f>
        <v>4</v>
      </c>
      <c r="J94" s="4" t="n">
        <f aca="false">ROUND((($B94*$AT94)+($AV94*$AU94))*$AW94,0)</f>
        <v>1</v>
      </c>
      <c r="K94" s="4" t="n">
        <f aca="false">ROUND((($B94*$AP94)+($B94*$AQ94))*$AS94,0)</f>
        <v>1</v>
      </c>
      <c r="L94" s="4" t="n">
        <f aca="false">ROUND((($B94*$AM94)+($B94*$AN94))*$AO94,0)</f>
        <v>2</v>
      </c>
      <c r="M94" s="4" t="n">
        <f aca="false">ROUND((($B94*$AG94)+($B94*$AH94))*$AI94,0)</f>
        <v>1</v>
      </c>
      <c r="N94" s="4" t="n">
        <f aca="false">ROUND((($B94*$AJ94)+($B94*$AK94))*$AL94,0)</f>
        <v>2</v>
      </c>
      <c r="O94" s="4" t="n">
        <f aca="false">INT($BO94*$B94)</f>
        <v>3</v>
      </c>
      <c r="P94" s="4" t="n">
        <f aca="false">INT($BP94*$B94)</f>
        <v>3</v>
      </c>
      <c r="Q94" s="4" t="n">
        <f aca="false">INT($BQ94*$B94*$AR94)</f>
        <v>1</v>
      </c>
      <c r="R94" s="4" t="n">
        <f aca="false">IF($R$1="WT/G",INT(POWER($BH94*$BJ94*$BI94,0.333333)),0)+IF($R$1="WT/A",INT(($BH94+$BJ94+$BI94)/3),0)+IF($R$1="WT/A2",INT(($BJ94+$BI94)/2),0)+IF($R$1="WT/W",INT(($BH94+$BJ94+$BJ94+$BI94)/4),0)+IF($R$1="WT/W2",INT(($BH94+$BJ94+$BI94+$BI94)/4),0)+IF($R$1="WT/N",INT(MIN($BH94,$BJ94,$BI94)),0)+IF($R$1="WT/M",INT(MAX($BH94,$BJ94,$BI94)),0)+IF($R$1="WT/1",INT($BH94),0)+IF($R$1="WT/2",INT($BI94),0)+IF($R$1="WT/3",INT($BJ94),0)</f>
        <v>35</v>
      </c>
      <c r="S94" s="4" t="n">
        <f aca="false">INT((10+$M94)*$BL94)</f>
        <v>13</v>
      </c>
      <c r="T94" s="4" t="n">
        <f aca="false">INT($I94*$BM94*$BF94)</f>
        <v>2</v>
      </c>
      <c r="U94" s="2" t="n">
        <f aca="false">ROUND(MAX($J94,$L94)+(MIN($J94,$L94)*$X94),0)</f>
        <v>3</v>
      </c>
      <c r="V94" s="2" t="n">
        <f aca="false">MAX(1,INT(((MIN($I94:$J94)+(MAX($I94:$J94)*$H94*$Y94)))*$Z94))</f>
        <v>25</v>
      </c>
      <c r="X94" s="5" t="n">
        <f aca="false">VLOOKUP($E94,Role!$A$2:$O$9,14,0)</f>
        <v>1</v>
      </c>
      <c r="Y94" s="5" t="n">
        <f aca="false">VLOOKUP($E94,Role!$A$2:$O$9,15,0)</f>
        <v>1</v>
      </c>
      <c r="Z94" s="5" t="n">
        <f aca="false">VLOOKUP($G94,Movement!$A$2:$C$7,3,0)</f>
        <v>1.5</v>
      </c>
      <c r="AB94" s="5" t="n">
        <f aca="false">INT(5+(($H94-1)/3))</f>
        <v>6</v>
      </c>
      <c r="AC94" s="5" t="n">
        <f aca="false">IF($AB94&lt;$I94,$I94-MAX($AB94,$B94),0)</f>
        <v>0</v>
      </c>
      <c r="AD94" s="5" t="n">
        <f aca="false">(5-ROUND(($H94-1)/3,0))</f>
        <v>4</v>
      </c>
      <c r="AE94" s="5" t="n">
        <f aca="false">IF($AD94&lt;$J94,$J94-MAX($AD94,$B94),0)</f>
        <v>0</v>
      </c>
      <c r="AG94" s="6" t="n">
        <f aca="false">VLOOKUP($F94,Category!$A$2:$AZ$20,24,0)</f>
        <v>0</v>
      </c>
      <c r="AH94" s="6" t="n">
        <f aca="false">VLOOKUP($F94,Category!$A$2:$AZ$20,26,0)</f>
        <v>0.333333333333333</v>
      </c>
      <c r="AI94" s="6" t="n">
        <f aca="false">VLOOKUP($E94,Role!$A$2:$O$9,6,0)</f>
        <v>0.666</v>
      </c>
      <c r="AJ94" s="6" t="n">
        <f aca="false">VLOOKUP($F94,Category!$A$2:$AZ$20,19,0)</f>
        <v>0.0909090909090909</v>
      </c>
      <c r="AK94" s="6" t="n">
        <f aca="false">VLOOKUP($F94,Category!$A$2:$AZ$20,21,0)</f>
        <v>0.545454545454545</v>
      </c>
      <c r="AL94" s="6" t="n">
        <f aca="false">VLOOKUP($E94,Role!$A$2:$O$9,7,0)</f>
        <v>0.666</v>
      </c>
      <c r="AM94" s="6" t="n">
        <f aca="false">VLOOKUP($F94,Category!$A$2:$AZ$20,19,0)</f>
        <v>0.0909090909090909</v>
      </c>
      <c r="AN94" s="6" t="n">
        <f aca="false">VLOOKUP($F94,Category!$A$2:$AZ$20,21,0)</f>
        <v>0.545454545454545</v>
      </c>
      <c r="AO94" s="6" t="n">
        <f aca="false">VLOOKUP($E94,Role!$A$2:$O$9,5,0)</f>
        <v>0.666</v>
      </c>
      <c r="AP94" s="6" t="n">
        <f aca="false">VLOOKUP($F94,Category!$A$2:$AZ$20,9,0)</f>
        <v>0</v>
      </c>
      <c r="AQ94" s="6" t="n">
        <f aca="false">VLOOKUP($F94,Category!$A$2:$AZ$20,11,0)</f>
        <v>0.555555555555556</v>
      </c>
      <c r="AR94" s="6" t="n">
        <f aca="false">VLOOKUP($F94,Category!$A$2:$AZ$20,10,0)</f>
        <v>0.555555555555556</v>
      </c>
      <c r="AS94" s="6" t="n">
        <f aca="false">VLOOKUP($E94,Role!$A$2:$O$9,4,0)</f>
        <v>0.666</v>
      </c>
      <c r="AT94" s="7" t="n">
        <f aca="false">VLOOKUP($F94,Category!$A$2:$AZ$20,14,0)</f>
        <v>0.416666666666667</v>
      </c>
      <c r="AU94" s="7" t="n">
        <f aca="false">VLOOKUP($F94,Category!$A$2:$AZ$20,16,0)</f>
        <v>0.25</v>
      </c>
      <c r="AV94" s="7" t="n">
        <f aca="false">VLOOKUP($D94,Size!$A$2:$Z$14,17,0)</f>
        <v>2</v>
      </c>
      <c r="AW94" s="7" t="n">
        <f aca="false">VLOOKUP($E94,Role!$A$2:$O$9,3,0)</f>
        <v>0.666</v>
      </c>
      <c r="AX94" s="7" t="n">
        <f aca="false">VLOOKUP($F94,Category!$A$2:$AZ$20,29,0)</f>
        <v>0.333333333333333</v>
      </c>
      <c r="AY94" s="7" t="n">
        <f aca="false">VLOOKUP($F94,Category!$A$2:$AZ$20,31,0)</f>
        <v>0.333333333333333</v>
      </c>
      <c r="AZ94" s="7" t="n">
        <f aca="false">VLOOKUP($D94,Size!$A$2:$Z$14,16,0)</f>
        <v>4</v>
      </c>
      <c r="BA94" s="7" t="n">
        <f aca="false">VLOOKUP($E94,Role!$A$2:$O$9,2,0)</f>
        <v>0.666</v>
      </c>
      <c r="BC94" s="7" t="n">
        <f aca="false">VLOOKUP($D94,Size!$A$2:$Z$14,19,0)</f>
        <v>16</v>
      </c>
      <c r="BD94" s="7" t="n">
        <f aca="false">VLOOKUP($D94,Size!$A$2:$Z$14,20,0)</f>
        <v>3</v>
      </c>
      <c r="BE94" s="7" t="n">
        <f aca="false">VLOOKUP($E94,Role!$A$2:$O$9,12,0)</f>
        <v>1.25</v>
      </c>
      <c r="BF94" s="7" t="n">
        <f aca="false">VLOOKUP($C94,Type!$A$2:$B$4,2,0)</f>
        <v>1</v>
      </c>
      <c r="BG94" s="7" t="n">
        <f aca="false">VLOOKUP($D94,Size!$A$2:$Z$14,18,0)</f>
        <v>25.3004131186338</v>
      </c>
      <c r="BH94" s="7" t="n">
        <f aca="false">INT($BF94*$BG94*$BE94*$B94/2)</f>
        <v>63</v>
      </c>
      <c r="BI94" s="7" t="n">
        <f aca="false">INT(($BC94*$BF94)+($I94*$BD94))</f>
        <v>28</v>
      </c>
      <c r="BJ94" s="7" t="n">
        <f aca="false">INT((($I94*$BE94)+$BC94)*$BF94)</f>
        <v>21</v>
      </c>
      <c r="BK94" s="14"/>
      <c r="BL94" s="7" t="n">
        <f aca="false">VLOOKUP($E94,Role!$A$2:$O$9,13,0)</f>
        <v>1.25</v>
      </c>
      <c r="BM94" s="7" t="n">
        <f aca="false">VLOOKUP($E94,Role!$A$2:$O$9,11,0)</f>
        <v>0.666</v>
      </c>
      <c r="BO94" s="7" t="n">
        <f aca="false">VLOOKUP($E94,Role!$A$2:$O$9,8,0)</f>
        <v>0.75</v>
      </c>
      <c r="BP94" s="7" t="n">
        <f aca="false">VLOOKUP($E94,Role!$A$2:$O$9,9,0)</f>
        <v>0.75</v>
      </c>
      <c r="BQ94" s="7" t="n">
        <f aca="false">VLOOKUP($E94,Role!$A$2:$O$9,10,0)</f>
        <v>0.5</v>
      </c>
    </row>
    <row r="95" customFormat="false" ht="12.8" hidden="false" customHeight="false" outlineLevel="0" collapsed="false">
      <c r="B95" s="2" t="n">
        <v>4</v>
      </c>
      <c r="C95" s="3" t="s">
        <v>63</v>
      </c>
      <c r="D95" s="1" t="s">
        <v>87</v>
      </c>
      <c r="E95" s="1" t="s">
        <v>70</v>
      </c>
      <c r="F95" s="1" t="s">
        <v>79</v>
      </c>
      <c r="G95" s="1" t="s">
        <v>80</v>
      </c>
      <c r="H95" s="4" t="n">
        <f aca="false">VLOOKUP($D95,Size!$A$2:$Z$14,6,0)</f>
        <v>5</v>
      </c>
      <c r="I95" s="13" t="n">
        <f aca="false">INT(($B95*$AZ95*$AX95*$BA95)+($B95*$AY95))</f>
        <v>5</v>
      </c>
      <c r="J95" s="4" t="n">
        <f aca="false">ROUND((($B95*$AT95)+($AV95*$AU95))*$AW95,0)</f>
        <v>1</v>
      </c>
      <c r="K95" s="4" t="n">
        <f aca="false">ROUND((($B95*$AP95)+($B95*$AQ95))*$AS95,0)</f>
        <v>1</v>
      </c>
      <c r="L95" s="4" t="n">
        <f aca="false">ROUND((($B95*$AM95)+($B95*$AN95))*$AO95,0)</f>
        <v>2</v>
      </c>
      <c r="M95" s="4" t="n">
        <f aca="false">ROUND((($B95*$AG95)+($B95*$AH95))*$AI95,0)</f>
        <v>1</v>
      </c>
      <c r="N95" s="4" t="n">
        <f aca="false">ROUND((($B95*$AJ95)+($B95*$AK95))*$AL95,0)</f>
        <v>2</v>
      </c>
      <c r="O95" s="4" t="n">
        <f aca="false">INT($BO95*$B95)</f>
        <v>3</v>
      </c>
      <c r="P95" s="4" t="n">
        <f aca="false">INT($BP95*$B95)</f>
        <v>3</v>
      </c>
      <c r="Q95" s="4" t="n">
        <f aca="false">INT($BQ95*$B95*$AR95)</f>
        <v>1</v>
      </c>
      <c r="R95" s="4" t="n">
        <f aca="false">IF($R$1="WT/G",INT(POWER($BH95*$BJ95*$BI95,0.333333)),0)+IF($R$1="WT/A",INT(($BH95+$BJ95+$BI95)/3),0)+IF($R$1="WT/A2",INT(($BJ95+$BI95)/2),0)+IF($R$1="WT/W",INT(($BH95+$BJ95+$BJ95+$BI95)/4),0)+IF($R$1="WT/W2",INT(($BH95+$BJ95+$BI95+$BI95)/4),0)+IF($R$1="WT/N",INT(MIN($BH95,$BJ95,$BI95)),0)+IF($R$1="WT/M",INT(MAX($BH95,$BJ95,$BI95)),0)+IF($R$1="WT/1",INT($BH95),0)+IF($R$1="WT/2",INT($BI95),0)+IF($R$1="WT/3",INT($BJ95),0)</f>
        <v>44</v>
      </c>
      <c r="S95" s="4" t="n">
        <f aca="false">INT((10+$M95)*$BL95)</f>
        <v>13</v>
      </c>
      <c r="T95" s="4" t="n">
        <f aca="false">INT($I95*$BM95*$BF95)</f>
        <v>3</v>
      </c>
      <c r="U95" s="2" t="n">
        <f aca="false">ROUND(MAX($J95,$L95)+(MIN($J95,$L95)*$X95),0)</f>
        <v>3</v>
      </c>
      <c r="V95" s="2" t="n">
        <f aca="false">MAX(1,INT(((MIN($I95:$J95)+(MAX($I95:$J95)*$H95*$Y95)))*$Z95))</f>
        <v>39</v>
      </c>
      <c r="X95" s="5" t="n">
        <f aca="false">VLOOKUP($E95,Role!$A$2:$O$9,14,0)</f>
        <v>1</v>
      </c>
      <c r="Y95" s="5" t="n">
        <f aca="false">VLOOKUP($E95,Role!$A$2:$O$9,15,0)</f>
        <v>1</v>
      </c>
      <c r="Z95" s="5" t="n">
        <f aca="false">VLOOKUP($G95,Movement!$A$2:$C$7,3,0)</f>
        <v>1.5</v>
      </c>
      <c r="AB95" s="5" t="n">
        <f aca="false">INT(5+(($H95-1)/3))</f>
        <v>6</v>
      </c>
      <c r="AC95" s="5" t="n">
        <f aca="false">IF($AB95&lt;$I95,$I95-MAX($AB95,$B95),0)</f>
        <v>0</v>
      </c>
      <c r="AD95" s="5" t="n">
        <f aca="false">(5-ROUND(($H95-1)/3,0))</f>
        <v>4</v>
      </c>
      <c r="AE95" s="5" t="n">
        <f aca="false">IF($AD95&lt;$J95,$J95-MAX($AD95,$B95),0)</f>
        <v>0</v>
      </c>
      <c r="AG95" s="6" t="n">
        <f aca="false">VLOOKUP($F95,Category!$A$2:$AZ$20,24,0)</f>
        <v>0</v>
      </c>
      <c r="AH95" s="6" t="n">
        <f aca="false">VLOOKUP($F95,Category!$A$2:$AZ$20,26,0)</f>
        <v>0.333333333333333</v>
      </c>
      <c r="AI95" s="6" t="n">
        <f aca="false">VLOOKUP($E95,Role!$A$2:$O$9,6,0)</f>
        <v>0.666</v>
      </c>
      <c r="AJ95" s="6" t="n">
        <f aca="false">VLOOKUP($F95,Category!$A$2:$AZ$20,19,0)</f>
        <v>0.0909090909090909</v>
      </c>
      <c r="AK95" s="6" t="n">
        <f aca="false">VLOOKUP($F95,Category!$A$2:$AZ$20,21,0)</f>
        <v>0.545454545454545</v>
      </c>
      <c r="AL95" s="6" t="n">
        <f aca="false">VLOOKUP($E95,Role!$A$2:$O$9,7,0)</f>
        <v>0.666</v>
      </c>
      <c r="AM95" s="6" t="n">
        <f aca="false">VLOOKUP($F95,Category!$A$2:$AZ$20,19,0)</f>
        <v>0.0909090909090909</v>
      </c>
      <c r="AN95" s="6" t="n">
        <f aca="false">VLOOKUP($F95,Category!$A$2:$AZ$20,21,0)</f>
        <v>0.545454545454545</v>
      </c>
      <c r="AO95" s="6" t="n">
        <f aca="false">VLOOKUP($E95,Role!$A$2:$O$9,5,0)</f>
        <v>0.666</v>
      </c>
      <c r="AP95" s="6" t="n">
        <f aca="false">VLOOKUP($F95,Category!$A$2:$AZ$20,9,0)</f>
        <v>0</v>
      </c>
      <c r="AQ95" s="6" t="n">
        <f aca="false">VLOOKUP($F95,Category!$A$2:$AZ$20,11,0)</f>
        <v>0.555555555555556</v>
      </c>
      <c r="AR95" s="6" t="n">
        <f aca="false">VLOOKUP($F95,Category!$A$2:$AZ$20,10,0)</f>
        <v>0.555555555555556</v>
      </c>
      <c r="AS95" s="6" t="n">
        <f aca="false">VLOOKUP($E95,Role!$A$2:$O$9,4,0)</f>
        <v>0.666</v>
      </c>
      <c r="AT95" s="7" t="n">
        <f aca="false">VLOOKUP($F95,Category!$A$2:$AZ$20,14,0)</f>
        <v>0.416666666666667</v>
      </c>
      <c r="AU95" s="7" t="n">
        <f aca="false">VLOOKUP($F95,Category!$A$2:$AZ$20,16,0)</f>
        <v>0.25</v>
      </c>
      <c r="AV95" s="7" t="n">
        <f aca="false">VLOOKUP($D95,Size!$A$2:$Z$14,17,0)</f>
        <v>2</v>
      </c>
      <c r="AW95" s="7" t="n">
        <f aca="false">VLOOKUP($E95,Role!$A$2:$O$9,3,0)</f>
        <v>0.666</v>
      </c>
      <c r="AX95" s="7" t="n">
        <f aca="false">VLOOKUP($F95,Category!$A$2:$AZ$20,29,0)</f>
        <v>0.333333333333333</v>
      </c>
      <c r="AY95" s="7" t="n">
        <f aca="false">VLOOKUP($F95,Category!$A$2:$AZ$20,31,0)</f>
        <v>0.333333333333333</v>
      </c>
      <c r="AZ95" s="7" t="n">
        <f aca="false">VLOOKUP($D95,Size!$A$2:$Z$14,16,0)</f>
        <v>5</v>
      </c>
      <c r="BA95" s="7" t="n">
        <f aca="false">VLOOKUP($E95,Role!$A$2:$O$9,2,0)</f>
        <v>0.666</v>
      </c>
      <c r="BC95" s="7" t="n">
        <f aca="false">VLOOKUP($D95,Size!$A$2:$Z$14,19,0)</f>
        <v>18</v>
      </c>
      <c r="BD95" s="7" t="n">
        <f aca="false">VLOOKUP($D95,Size!$A$2:$Z$14,20,0)</f>
        <v>4</v>
      </c>
      <c r="BE95" s="7" t="n">
        <f aca="false">VLOOKUP($E95,Role!$A$2:$O$9,12,0)</f>
        <v>1.25</v>
      </c>
      <c r="BF95" s="7" t="n">
        <f aca="false">VLOOKUP($C95,Type!$A$2:$B$4,2,0)</f>
        <v>1</v>
      </c>
      <c r="BG95" s="7" t="n">
        <f aca="false">VLOOKUP($D95,Size!$A$2:$Z$14,18,0)</f>
        <v>31.2018765062488</v>
      </c>
      <c r="BH95" s="7" t="n">
        <f aca="false">INT($BF95*$BG95*$BE95*$B95/2)</f>
        <v>78</v>
      </c>
      <c r="BI95" s="7" t="n">
        <f aca="false">INT(($BC95*$BF95)+($I95*$BD95))</f>
        <v>38</v>
      </c>
      <c r="BJ95" s="7" t="n">
        <f aca="false">INT((($I95*$BE95)+$BC95)*$BF95)</f>
        <v>24</v>
      </c>
      <c r="BK95" s="14"/>
      <c r="BL95" s="7" t="n">
        <f aca="false">VLOOKUP($E95,Role!$A$2:$O$9,13,0)</f>
        <v>1.25</v>
      </c>
      <c r="BM95" s="7" t="n">
        <f aca="false">VLOOKUP($E95,Role!$A$2:$O$9,11,0)</f>
        <v>0.666</v>
      </c>
      <c r="BO95" s="7" t="n">
        <f aca="false">VLOOKUP($E95,Role!$A$2:$O$9,8,0)</f>
        <v>0.75</v>
      </c>
      <c r="BP95" s="7" t="n">
        <f aca="false">VLOOKUP($E95,Role!$A$2:$O$9,9,0)</f>
        <v>0.75</v>
      </c>
      <c r="BQ95" s="7" t="n">
        <f aca="false">VLOOKUP($E95,Role!$A$2:$O$9,10,0)</f>
        <v>0.5</v>
      </c>
    </row>
    <row r="96" customFormat="false" ht="12.8" hidden="false" customHeight="false" outlineLevel="0" collapsed="false">
      <c r="B96" s="2" t="n">
        <v>4</v>
      </c>
      <c r="C96" s="3" t="s">
        <v>63</v>
      </c>
      <c r="D96" s="1" t="s">
        <v>88</v>
      </c>
      <c r="E96" s="1" t="s">
        <v>70</v>
      </c>
      <c r="F96" s="1" t="s">
        <v>79</v>
      </c>
      <c r="G96" s="1" t="s">
        <v>80</v>
      </c>
      <c r="H96" s="4" t="n">
        <f aca="false">VLOOKUP($D96,Size!$A$2:$Z$14,6,0)</f>
        <v>6</v>
      </c>
      <c r="I96" s="13" t="n">
        <f aca="false">INT(($B96*$AZ96*$AX96*$BA96)+($B96*$AY96))</f>
        <v>5</v>
      </c>
      <c r="J96" s="4" t="n">
        <f aca="false">ROUND((($B96*$AT96)+($AV96*$AU96))*$AW96,0)</f>
        <v>1</v>
      </c>
      <c r="K96" s="4" t="n">
        <f aca="false">ROUND((($B96*$AP96)+($B96*$AQ96))*$AS96,0)</f>
        <v>1</v>
      </c>
      <c r="L96" s="4" t="n">
        <f aca="false">ROUND((($B96*$AM96)+($B96*$AN96))*$AO96,0)</f>
        <v>2</v>
      </c>
      <c r="M96" s="4" t="n">
        <f aca="false">ROUND((($B96*$AG96)+($B96*$AH96))*$AI96,0)</f>
        <v>1</v>
      </c>
      <c r="N96" s="4" t="n">
        <f aca="false">ROUND((($B96*$AJ96)+($B96*$AK96))*$AL96,0)</f>
        <v>2</v>
      </c>
      <c r="O96" s="4" t="n">
        <f aca="false">INT($BO96*$B96)</f>
        <v>3</v>
      </c>
      <c r="P96" s="4" t="n">
        <f aca="false">INT($BP96*$B96)</f>
        <v>3</v>
      </c>
      <c r="Q96" s="4" t="n">
        <f aca="false">INT($BQ96*$B96*$AR96)</f>
        <v>1</v>
      </c>
      <c r="R96" s="4" t="n">
        <f aca="false">IF($R$1="WT/G",INT(POWER($BH96*$BJ96*$BI96,0.333333)),0)+IF($R$1="WT/A",INT(($BH96+$BJ96+$BI96)/3),0)+IF($R$1="WT/A2",INT(($BJ96+$BI96)/2),0)+IF($R$1="WT/W",INT(($BH96+$BJ96+$BJ96+$BI96)/4),0)+IF($R$1="WT/W2",INT(($BH96+$BJ96+$BI96+$BI96)/4),0)+IF($R$1="WT/N",INT(MIN($BH96,$BJ96,$BI96)),0)+IF($R$1="WT/M",INT(MAX($BH96,$BJ96,$BI96)),0)+IF($R$1="WT/1",INT($BH96),0)+IF($R$1="WT/2",INT($BI96),0)+IF($R$1="WT/3",INT($BJ96),0)</f>
        <v>53</v>
      </c>
      <c r="S96" s="4" t="n">
        <f aca="false">INT((10+$M96)*$BL96)</f>
        <v>13</v>
      </c>
      <c r="T96" s="4" t="n">
        <f aca="false">INT($I96*$BM96*$BF96)</f>
        <v>3</v>
      </c>
      <c r="U96" s="2" t="n">
        <f aca="false">ROUND(MAX($J96,$L96)+(MIN($J96,$L96)*$X96),0)</f>
        <v>3</v>
      </c>
      <c r="V96" s="2" t="n">
        <f aca="false">MAX(1,INT(((MIN($I96:$J96)+(MAX($I96:$J96)*$H96*$Y96)))*$Z96))</f>
        <v>46</v>
      </c>
      <c r="X96" s="5" t="n">
        <f aca="false">VLOOKUP($E96,Role!$A$2:$O$9,14,0)</f>
        <v>1</v>
      </c>
      <c r="Y96" s="5" t="n">
        <f aca="false">VLOOKUP($E96,Role!$A$2:$O$9,15,0)</f>
        <v>1</v>
      </c>
      <c r="Z96" s="5" t="n">
        <f aca="false">VLOOKUP($G96,Movement!$A$2:$C$7,3,0)</f>
        <v>1.5</v>
      </c>
      <c r="AB96" s="5" t="n">
        <f aca="false">INT(5+(($H96-1)/3))</f>
        <v>6</v>
      </c>
      <c r="AC96" s="5" t="n">
        <f aca="false">IF($AB96&lt;$I96,$I96-MAX($AB96,$B96),0)</f>
        <v>0</v>
      </c>
      <c r="AD96" s="5" t="n">
        <f aca="false">(5-ROUND(($H96-1)/3,0))</f>
        <v>3</v>
      </c>
      <c r="AE96" s="5" t="n">
        <f aca="false">IF($AD96&lt;$J96,$J96-MAX($AD96,$B96),0)</f>
        <v>0</v>
      </c>
      <c r="AG96" s="6" t="n">
        <f aca="false">VLOOKUP($F96,Category!$A$2:$AZ$20,24,0)</f>
        <v>0</v>
      </c>
      <c r="AH96" s="6" t="n">
        <f aca="false">VLOOKUP($F96,Category!$A$2:$AZ$20,26,0)</f>
        <v>0.333333333333333</v>
      </c>
      <c r="AI96" s="6" t="n">
        <f aca="false">VLOOKUP($E96,Role!$A$2:$O$9,6,0)</f>
        <v>0.666</v>
      </c>
      <c r="AJ96" s="6" t="n">
        <f aca="false">VLOOKUP($F96,Category!$A$2:$AZ$20,19,0)</f>
        <v>0.0909090909090909</v>
      </c>
      <c r="AK96" s="6" t="n">
        <f aca="false">VLOOKUP($F96,Category!$A$2:$AZ$20,21,0)</f>
        <v>0.545454545454545</v>
      </c>
      <c r="AL96" s="6" t="n">
        <f aca="false">VLOOKUP($E96,Role!$A$2:$O$9,7,0)</f>
        <v>0.666</v>
      </c>
      <c r="AM96" s="6" t="n">
        <f aca="false">VLOOKUP($F96,Category!$A$2:$AZ$20,19,0)</f>
        <v>0.0909090909090909</v>
      </c>
      <c r="AN96" s="6" t="n">
        <f aca="false">VLOOKUP($F96,Category!$A$2:$AZ$20,21,0)</f>
        <v>0.545454545454545</v>
      </c>
      <c r="AO96" s="6" t="n">
        <f aca="false">VLOOKUP($E96,Role!$A$2:$O$9,5,0)</f>
        <v>0.666</v>
      </c>
      <c r="AP96" s="6" t="n">
        <f aca="false">VLOOKUP($F96,Category!$A$2:$AZ$20,9,0)</f>
        <v>0</v>
      </c>
      <c r="AQ96" s="6" t="n">
        <f aca="false">VLOOKUP($F96,Category!$A$2:$AZ$20,11,0)</f>
        <v>0.555555555555556</v>
      </c>
      <c r="AR96" s="6" t="n">
        <f aca="false">VLOOKUP($F96,Category!$A$2:$AZ$20,10,0)</f>
        <v>0.555555555555556</v>
      </c>
      <c r="AS96" s="6" t="n">
        <f aca="false">VLOOKUP($E96,Role!$A$2:$O$9,4,0)</f>
        <v>0.666</v>
      </c>
      <c r="AT96" s="7" t="n">
        <f aca="false">VLOOKUP($F96,Category!$A$2:$AZ$20,14,0)</f>
        <v>0.416666666666667</v>
      </c>
      <c r="AU96" s="7" t="n">
        <f aca="false">VLOOKUP($F96,Category!$A$2:$AZ$20,16,0)</f>
        <v>0.25</v>
      </c>
      <c r="AV96" s="7" t="n">
        <f aca="false">VLOOKUP($D96,Size!$A$2:$Z$14,17,0)</f>
        <v>2</v>
      </c>
      <c r="AW96" s="7" t="n">
        <f aca="false">VLOOKUP($E96,Role!$A$2:$O$9,3,0)</f>
        <v>0.666</v>
      </c>
      <c r="AX96" s="7" t="n">
        <f aca="false">VLOOKUP($F96,Category!$A$2:$AZ$20,29,0)</f>
        <v>0.333333333333333</v>
      </c>
      <c r="AY96" s="7" t="n">
        <f aca="false">VLOOKUP($F96,Category!$A$2:$AZ$20,31,0)</f>
        <v>0.333333333333333</v>
      </c>
      <c r="AZ96" s="7" t="n">
        <f aca="false">VLOOKUP($D96,Size!$A$2:$Z$14,16,0)</f>
        <v>5</v>
      </c>
      <c r="BA96" s="7" t="n">
        <f aca="false">VLOOKUP($E96,Role!$A$2:$O$9,2,0)</f>
        <v>0.666</v>
      </c>
      <c r="BC96" s="7" t="n">
        <f aca="false">VLOOKUP($D96,Size!$A$2:$Z$14,19,0)</f>
        <v>20</v>
      </c>
      <c r="BD96" s="7" t="n">
        <f aca="false">VLOOKUP($D96,Size!$A$2:$Z$14,20,0)</f>
        <v>5</v>
      </c>
      <c r="BE96" s="7" t="n">
        <f aca="false">VLOOKUP($E96,Role!$A$2:$O$9,12,0)</f>
        <v>1.25</v>
      </c>
      <c r="BF96" s="7" t="n">
        <f aca="false">VLOOKUP($C96,Type!$A$2:$B$4,2,0)</f>
        <v>1</v>
      </c>
      <c r="BG96" s="7" t="n">
        <f aca="false">VLOOKUP($D96,Size!$A$2:$Z$14,18,0)</f>
        <v>38.7177346253629</v>
      </c>
      <c r="BH96" s="7" t="n">
        <f aca="false">INT($BF96*$BG96*$BE96*$B96/2)</f>
        <v>96</v>
      </c>
      <c r="BI96" s="7" t="n">
        <f aca="false">INT(($BC96*$BF96)+($I96*$BD96))</f>
        <v>45</v>
      </c>
      <c r="BJ96" s="7" t="n">
        <f aca="false">INT((($I96*$BE96)+$BC96)*$BF96)</f>
        <v>26</v>
      </c>
      <c r="BK96" s="14"/>
      <c r="BL96" s="7" t="n">
        <f aca="false">VLOOKUP($E96,Role!$A$2:$O$9,13,0)</f>
        <v>1.25</v>
      </c>
      <c r="BM96" s="7" t="n">
        <f aca="false">VLOOKUP($E96,Role!$A$2:$O$9,11,0)</f>
        <v>0.666</v>
      </c>
      <c r="BO96" s="7" t="n">
        <f aca="false">VLOOKUP($E96,Role!$A$2:$O$9,8,0)</f>
        <v>0.75</v>
      </c>
      <c r="BP96" s="7" t="n">
        <f aca="false">VLOOKUP($E96,Role!$A$2:$O$9,9,0)</f>
        <v>0.75</v>
      </c>
      <c r="BQ96" s="7" t="n">
        <f aca="false">VLOOKUP($E96,Role!$A$2:$O$9,10,0)</f>
        <v>0.5</v>
      </c>
    </row>
    <row r="97" customFormat="false" ht="12.8" hidden="false" customHeight="false" outlineLevel="0" collapsed="false">
      <c r="B97" s="2" t="n">
        <v>4</v>
      </c>
      <c r="C97" s="3" t="s">
        <v>63</v>
      </c>
      <c r="D97" s="1" t="s">
        <v>89</v>
      </c>
      <c r="E97" s="1" t="s">
        <v>70</v>
      </c>
      <c r="F97" s="1" t="s">
        <v>79</v>
      </c>
      <c r="G97" s="1" t="s">
        <v>80</v>
      </c>
      <c r="H97" s="4" t="n">
        <f aca="false">VLOOKUP($D97,Size!$A$2:$Z$14,6,0)</f>
        <v>7</v>
      </c>
      <c r="I97" s="13" t="n">
        <f aca="false">INT(($B97*$AZ97*$AX97*$BA97)+($B97*$AY97))</f>
        <v>5</v>
      </c>
      <c r="J97" s="4" t="n">
        <f aca="false">ROUND((($B97*$AT97)+($AV97*$AU97))*$AW97,0)</f>
        <v>1</v>
      </c>
      <c r="K97" s="4" t="n">
        <f aca="false">ROUND((($B97*$AP97)+($B97*$AQ97))*$AS97,0)</f>
        <v>1</v>
      </c>
      <c r="L97" s="4" t="n">
        <f aca="false">ROUND((($B97*$AM97)+($B97*$AN97))*$AO97,0)</f>
        <v>2</v>
      </c>
      <c r="M97" s="4" t="n">
        <f aca="false">ROUND((($B97*$AG97)+($B97*$AH97))*$AI97,0)</f>
        <v>1</v>
      </c>
      <c r="N97" s="4" t="n">
        <f aca="false">ROUND((($B97*$AJ97)+($B97*$AK97))*$AL97,0)</f>
        <v>2</v>
      </c>
      <c r="O97" s="4" t="n">
        <f aca="false">INT($BO97*$B97)</f>
        <v>3</v>
      </c>
      <c r="P97" s="4" t="n">
        <f aca="false">INT($BP97*$B97)</f>
        <v>3</v>
      </c>
      <c r="Q97" s="4" t="n">
        <f aca="false">INT($BQ97*$B97*$AR97)</f>
        <v>1</v>
      </c>
      <c r="R97" s="4" t="n">
        <f aca="false">IF($R$1="WT/G",INT(POWER($BH97*$BJ97*$BI97,0.333333)),0)+IF($R$1="WT/A",INT(($BH97+$BJ97+$BI97)/3),0)+IF($R$1="WT/A2",INT(($BJ97+$BI97)/2),0)+IF($R$1="WT/W",INT(($BH97+$BJ97+$BJ97+$BI97)/4),0)+IF($R$1="WT/W2",INT(($BH97+$BJ97+$BI97+$BI97)/4),0)+IF($R$1="WT/N",INT(MIN($BH97,$BJ97,$BI97)),0)+IF($R$1="WT/M",INT(MAX($BH97,$BJ97,$BI97)),0)+IF($R$1="WT/1",INT($BH97),0)+IF($R$1="WT/2",INT($BI97),0)+IF($R$1="WT/3",INT($BJ97),0)</f>
        <v>62</v>
      </c>
      <c r="S97" s="4" t="n">
        <f aca="false">INT((10+$M97)*$BL97)</f>
        <v>13</v>
      </c>
      <c r="T97" s="4" t="n">
        <f aca="false">INT($I97*$BM97*$BF97)</f>
        <v>3</v>
      </c>
      <c r="U97" s="2" t="n">
        <f aca="false">ROUND(MAX($J97,$L97)+(MIN($J97,$L97)*$X97),0)</f>
        <v>3</v>
      </c>
      <c r="V97" s="2" t="n">
        <f aca="false">MAX(1,INT(((MIN($I97:$J97)+(MAX($I97:$J97)*$H97*$Y97)))*$Z97))</f>
        <v>54</v>
      </c>
      <c r="X97" s="5" t="n">
        <f aca="false">VLOOKUP($E97,Role!$A$2:$O$9,14,0)</f>
        <v>1</v>
      </c>
      <c r="Y97" s="5" t="n">
        <f aca="false">VLOOKUP($E97,Role!$A$2:$O$9,15,0)</f>
        <v>1</v>
      </c>
      <c r="Z97" s="5" t="n">
        <f aca="false">VLOOKUP($G97,Movement!$A$2:$C$7,3,0)</f>
        <v>1.5</v>
      </c>
      <c r="AB97" s="5" t="n">
        <f aca="false">INT(5+(($H97-1)/3))</f>
        <v>7</v>
      </c>
      <c r="AC97" s="5" t="n">
        <f aca="false">IF($AB97&lt;$I97,$I97-MAX($AB97,$B97),0)</f>
        <v>0</v>
      </c>
      <c r="AD97" s="5" t="n">
        <f aca="false">(5-ROUND(($H97-1)/3,0))</f>
        <v>3</v>
      </c>
      <c r="AE97" s="5" t="n">
        <f aca="false">IF($AD97&lt;$J97,$J97-MAX($AD97,$B97),0)</f>
        <v>0</v>
      </c>
      <c r="AG97" s="6" t="n">
        <f aca="false">VLOOKUP($F97,Category!$A$2:$AZ$20,24,0)</f>
        <v>0</v>
      </c>
      <c r="AH97" s="6" t="n">
        <f aca="false">VLOOKUP($F97,Category!$A$2:$AZ$20,26,0)</f>
        <v>0.333333333333333</v>
      </c>
      <c r="AI97" s="6" t="n">
        <f aca="false">VLOOKUP($E97,Role!$A$2:$O$9,6,0)</f>
        <v>0.666</v>
      </c>
      <c r="AJ97" s="6" t="n">
        <f aca="false">VLOOKUP($F97,Category!$A$2:$AZ$20,19,0)</f>
        <v>0.0909090909090909</v>
      </c>
      <c r="AK97" s="6" t="n">
        <f aca="false">VLOOKUP($F97,Category!$A$2:$AZ$20,21,0)</f>
        <v>0.545454545454545</v>
      </c>
      <c r="AL97" s="6" t="n">
        <f aca="false">VLOOKUP($E97,Role!$A$2:$O$9,7,0)</f>
        <v>0.666</v>
      </c>
      <c r="AM97" s="6" t="n">
        <f aca="false">VLOOKUP($F97,Category!$A$2:$AZ$20,19,0)</f>
        <v>0.0909090909090909</v>
      </c>
      <c r="AN97" s="6" t="n">
        <f aca="false">VLOOKUP($F97,Category!$A$2:$AZ$20,21,0)</f>
        <v>0.545454545454545</v>
      </c>
      <c r="AO97" s="6" t="n">
        <f aca="false">VLOOKUP($E97,Role!$A$2:$O$9,5,0)</f>
        <v>0.666</v>
      </c>
      <c r="AP97" s="6" t="n">
        <f aca="false">VLOOKUP($F97,Category!$A$2:$AZ$20,9,0)</f>
        <v>0</v>
      </c>
      <c r="AQ97" s="6" t="n">
        <f aca="false">VLOOKUP($F97,Category!$A$2:$AZ$20,11,0)</f>
        <v>0.555555555555556</v>
      </c>
      <c r="AR97" s="6" t="n">
        <f aca="false">VLOOKUP($F97,Category!$A$2:$AZ$20,10,0)</f>
        <v>0.555555555555556</v>
      </c>
      <c r="AS97" s="6" t="n">
        <f aca="false">VLOOKUP($E97,Role!$A$2:$O$9,4,0)</f>
        <v>0.666</v>
      </c>
      <c r="AT97" s="7" t="n">
        <f aca="false">VLOOKUP($F97,Category!$A$2:$AZ$20,14,0)</f>
        <v>0.416666666666667</v>
      </c>
      <c r="AU97" s="7" t="n">
        <f aca="false">VLOOKUP($F97,Category!$A$2:$AZ$20,16,0)</f>
        <v>0.25</v>
      </c>
      <c r="AV97" s="7" t="n">
        <f aca="false">VLOOKUP($D97,Size!$A$2:$Z$14,17,0)</f>
        <v>2</v>
      </c>
      <c r="AW97" s="7" t="n">
        <f aca="false">VLOOKUP($E97,Role!$A$2:$O$9,3,0)</f>
        <v>0.666</v>
      </c>
      <c r="AX97" s="7" t="n">
        <f aca="false">VLOOKUP($F97,Category!$A$2:$AZ$20,29,0)</f>
        <v>0.333333333333333</v>
      </c>
      <c r="AY97" s="7" t="n">
        <f aca="false">VLOOKUP($F97,Category!$A$2:$AZ$20,31,0)</f>
        <v>0.333333333333333</v>
      </c>
      <c r="AZ97" s="7" t="n">
        <f aca="false">VLOOKUP($D97,Size!$A$2:$Z$14,16,0)</f>
        <v>5</v>
      </c>
      <c r="BA97" s="7" t="n">
        <f aca="false">VLOOKUP($E97,Role!$A$2:$O$9,2,0)</f>
        <v>0.666</v>
      </c>
      <c r="BC97" s="7" t="n">
        <f aca="false">VLOOKUP($D97,Size!$A$2:$Z$14,19,0)</f>
        <v>22</v>
      </c>
      <c r="BD97" s="7" t="n">
        <f aca="false">VLOOKUP($D97,Size!$A$2:$Z$14,20,0)</f>
        <v>6</v>
      </c>
      <c r="BE97" s="7" t="n">
        <f aca="false">VLOOKUP($E97,Role!$A$2:$O$9,12,0)</f>
        <v>1.25</v>
      </c>
      <c r="BF97" s="7" t="n">
        <f aca="false">VLOOKUP($C97,Type!$A$2:$B$4,2,0)</f>
        <v>1</v>
      </c>
      <c r="BG97" s="7" t="n">
        <f aca="false">VLOOKUP($D97,Size!$A$2:$Z$14,18,0)</f>
        <v>46.4833054890161</v>
      </c>
      <c r="BH97" s="7" t="n">
        <f aca="false">INT($BF97*$BG97*$BE97*$B97/2)</f>
        <v>116</v>
      </c>
      <c r="BI97" s="7" t="n">
        <f aca="false">INT(($BC97*$BF97)+($I97*$BD97))</f>
        <v>52</v>
      </c>
      <c r="BJ97" s="7" t="n">
        <f aca="false">INT((($I97*$BE97)+$BC97)*$BF97)</f>
        <v>28</v>
      </c>
      <c r="BK97" s="14"/>
      <c r="BL97" s="7" t="n">
        <f aca="false">VLOOKUP($E97,Role!$A$2:$O$9,13,0)</f>
        <v>1.25</v>
      </c>
      <c r="BM97" s="7" t="n">
        <f aca="false">VLOOKUP($E97,Role!$A$2:$O$9,11,0)</f>
        <v>0.666</v>
      </c>
      <c r="BO97" s="7" t="n">
        <f aca="false">VLOOKUP($E97,Role!$A$2:$O$9,8,0)</f>
        <v>0.75</v>
      </c>
      <c r="BP97" s="7" t="n">
        <f aca="false">VLOOKUP($E97,Role!$A$2:$O$9,9,0)</f>
        <v>0.75</v>
      </c>
      <c r="BQ97" s="7" t="n">
        <f aca="false">VLOOKUP($E97,Role!$A$2:$O$9,10,0)</f>
        <v>0.5</v>
      </c>
    </row>
    <row r="98" customFormat="false" ht="12.8" hidden="false" customHeight="false" outlineLevel="0" collapsed="false">
      <c r="C98" s="3" t="s">
        <v>63</v>
      </c>
      <c r="E98" s="1" t="s">
        <v>70</v>
      </c>
      <c r="H98" s="4" t="e">
        <f aca="false">VLOOKUP($D98,Size!$A$2:$Z$14,6,0)</f>
        <v>#N/A</v>
      </c>
      <c r="I98" s="13" t="e">
        <f aca="false">INT(($B98*$AZ98*$AX98*$BA98)+($B98*$AY98))</f>
        <v>#N/A</v>
      </c>
      <c r="J98" s="4" t="e">
        <f aca="false">ROUND((($B98*$AT98)+($AV98*$AU98))*$AW98,0)</f>
        <v>#N/A</v>
      </c>
      <c r="K98" s="4" t="e">
        <f aca="false">ROUND((($B98*$AP98)+($B98*$AQ98))*$AS98,0)</f>
        <v>#N/A</v>
      </c>
      <c r="L98" s="4" t="e">
        <f aca="false">ROUND((($B98*$AM98)+($B98*$AN98))*$AO98,0)</f>
        <v>#N/A</v>
      </c>
      <c r="M98" s="4" t="e">
        <f aca="false">ROUND((($B98*$AG98)+($B98*$AH98))*$AI98,0)</f>
        <v>#N/A</v>
      </c>
      <c r="N98" s="4" t="e">
        <f aca="false">ROUND((($B98*$AJ98)+($B98*$AK98))*$AL98,0)</f>
        <v>#N/A</v>
      </c>
      <c r="O98" s="4" t="n">
        <f aca="false">INT($BO98*$B98)</f>
        <v>0</v>
      </c>
      <c r="P98" s="4" t="n">
        <f aca="false">INT($BP98*$B98)</f>
        <v>0</v>
      </c>
      <c r="Q98" s="4" t="e">
        <f aca="false">INT($BQ98*$B98*$AR98)</f>
        <v>#N/A</v>
      </c>
      <c r="R98" s="4" t="e">
        <f aca="false">IF($R$1="WT/G",INT(POWER($BH98*$BJ98*$BI98,0.333333)),0)+IF($R$1="WT/A",INT(($BH98+$BJ98+$BI98)/3),0)+IF($R$1="WT/A2",INT(($BJ98+$BI98)/2),0)+IF($R$1="WT/W",INT(($BH98+$BJ98+$BJ98+$BI98)/4),0)+IF($R$1="WT/W2",INT(($BH98+$BJ98+$BI98+$BI98)/4),0)+IF($R$1="WT/N",INT(MIN($BH98,$BJ98,$BI98)),0)+IF($R$1="WT/M",INT(MAX($BH98,$BJ98,$BI98)),0)+IF($R$1="WT/1",INT($BH98),0)+IF($R$1="WT/2",INT($BI98),0)+IF($R$1="WT/3",INT($BJ98),0)</f>
        <v>#N/A</v>
      </c>
      <c r="S98" s="4" t="e">
        <f aca="false">INT((10+$M98)*$BL98)</f>
        <v>#N/A</v>
      </c>
      <c r="T98" s="4" t="e">
        <f aca="false">INT($I98*$BM98*$BF98)</f>
        <v>#N/A</v>
      </c>
      <c r="U98" s="2" t="e">
        <f aca="false">ROUND(MAX($J98,$L98)+(MIN($J98,$L98)*$X98),0)</f>
        <v>#N/A</v>
      </c>
      <c r="V98" s="2" t="e">
        <f aca="false">MAX(1,INT(((MIN($I98:$J98)+(MAX($I98:$J98)*$H98*$Y98)))*$Z98))</f>
        <v>#N/A</v>
      </c>
      <c r="X98" s="5" t="n">
        <f aca="false">VLOOKUP($E98,Role!$A$2:$O$9,14,0)</f>
        <v>1</v>
      </c>
      <c r="Y98" s="5" t="n">
        <f aca="false">VLOOKUP($E98,Role!$A$2:$O$9,15,0)</f>
        <v>1</v>
      </c>
      <c r="Z98" s="5" t="e">
        <f aca="false">VLOOKUP($G98,Movement!$A$2:$C$7,3,0)</f>
        <v>#N/A</v>
      </c>
      <c r="AB98" s="5" t="e">
        <f aca="false">INT(5+(($H98-1)/3))</f>
        <v>#N/A</v>
      </c>
      <c r="AC98" s="5" t="e">
        <f aca="false">IF($AB98&lt;$I98,$I98-MAX($AB98,$B98),0)</f>
        <v>#N/A</v>
      </c>
      <c r="AD98" s="5" t="e">
        <f aca="false">(5-ROUND(($H98-1)/3,0))</f>
        <v>#N/A</v>
      </c>
      <c r="AE98" s="5" t="e">
        <f aca="false">IF($AD98&lt;$J98,$J98-MAX($AD98,$B98),0)</f>
        <v>#N/A</v>
      </c>
      <c r="AG98" s="6" t="e">
        <f aca="false">VLOOKUP($F98,Category!$A$2:$AZ$20,24,0)</f>
        <v>#N/A</v>
      </c>
      <c r="AH98" s="6" t="e">
        <f aca="false">VLOOKUP($F98,Category!$A$2:$AZ$20,26,0)</f>
        <v>#N/A</v>
      </c>
      <c r="AI98" s="6" t="n">
        <f aca="false">VLOOKUP($E98,Role!$A$2:$O$9,6,0)</f>
        <v>0.666</v>
      </c>
      <c r="AJ98" s="6" t="e">
        <f aca="false">VLOOKUP($F98,Category!$A$2:$AZ$20,19,0)</f>
        <v>#N/A</v>
      </c>
      <c r="AK98" s="6" t="e">
        <f aca="false">VLOOKUP($F98,Category!$A$2:$AZ$20,21,0)</f>
        <v>#N/A</v>
      </c>
      <c r="AL98" s="6" t="n">
        <f aca="false">VLOOKUP($E98,Role!$A$2:$O$9,7,0)</f>
        <v>0.666</v>
      </c>
      <c r="AM98" s="6" t="e">
        <f aca="false">VLOOKUP($F98,Category!$A$2:$AZ$20,19,0)</f>
        <v>#N/A</v>
      </c>
      <c r="AN98" s="6" t="e">
        <f aca="false">VLOOKUP($F98,Category!$A$2:$AZ$20,21,0)</f>
        <v>#N/A</v>
      </c>
      <c r="AO98" s="6" t="n">
        <f aca="false">VLOOKUP($E98,Role!$A$2:$O$9,5,0)</f>
        <v>0.666</v>
      </c>
      <c r="AP98" s="6" t="e">
        <f aca="false">VLOOKUP($F98,Category!$A$2:$AZ$20,9,0)</f>
        <v>#N/A</v>
      </c>
      <c r="AQ98" s="6" t="e">
        <f aca="false">VLOOKUP($F98,Category!$A$2:$AZ$20,11,0)</f>
        <v>#N/A</v>
      </c>
      <c r="AR98" s="6" t="e">
        <f aca="false">VLOOKUP($F98,Category!$A$2:$AZ$20,10,0)</f>
        <v>#N/A</v>
      </c>
      <c r="AS98" s="6" t="n">
        <f aca="false">VLOOKUP($E98,Role!$A$2:$O$9,4,0)</f>
        <v>0.666</v>
      </c>
      <c r="AT98" s="7" t="e">
        <f aca="false">VLOOKUP($F98,Category!$A$2:$AZ$20,14,0)</f>
        <v>#N/A</v>
      </c>
      <c r="AU98" s="7" t="e">
        <f aca="false">VLOOKUP($F98,Category!$A$2:$AZ$20,16,0)</f>
        <v>#N/A</v>
      </c>
      <c r="AV98" s="7" t="e">
        <f aca="false">VLOOKUP($D98,Size!$A$2:$Z$14,17,0)</f>
        <v>#N/A</v>
      </c>
      <c r="AW98" s="7" t="n">
        <f aca="false">VLOOKUP($E98,Role!$A$2:$O$9,3,0)</f>
        <v>0.666</v>
      </c>
      <c r="AX98" s="7" t="e">
        <f aca="false">VLOOKUP($F98,Category!$A$2:$AZ$20,29,0)</f>
        <v>#N/A</v>
      </c>
      <c r="AY98" s="7" t="e">
        <f aca="false">VLOOKUP($F98,Category!$A$2:$AZ$20,31,0)</f>
        <v>#N/A</v>
      </c>
      <c r="AZ98" s="7" t="e">
        <f aca="false">VLOOKUP($D98,Size!$A$2:$Z$14,16,0)</f>
        <v>#N/A</v>
      </c>
      <c r="BA98" s="7" t="n">
        <f aca="false">VLOOKUP($E98,Role!$A$2:$O$9,2,0)</f>
        <v>0.666</v>
      </c>
      <c r="BC98" s="7" t="e">
        <f aca="false">VLOOKUP($D98,Size!$A$2:$Z$14,19,0)</f>
        <v>#N/A</v>
      </c>
      <c r="BD98" s="7" t="e">
        <f aca="false">VLOOKUP($D98,Size!$A$2:$Z$14,20,0)</f>
        <v>#N/A</v>
      </c>
      <c r="BE98" s="7" t="n">
        <f aca="false">VLOOKUP($E98,Role!$A$2:$O$9,12,0)</f>
        <v>1.25</v>
      </c>
      <c r="BF98" s="7" t="n">
        <f aca="false">VLOOKUP($C98,Type!$A$2:$B$4,2,0)</f>
        <v>1</v>
      </c>
      <c r="BG98" s="7" t="e">
        <f aca="false">VLOOKUP($D98,Size!$A$2:$Z$14,18,0)</f>
        <v>#N/A</v>
      </c>
      <c r="BH98" s="7" t="e">
        <f aca="false">INT($BF98*$BG98*$BE98*$B98/2)</f>
        <v>#N/A</v>
      </c>
      <c r="BI98" s="7" t="e">
        <f aca="false">INT(($BC98*$BF98)+($I98*$BD98))</f>
        <v>#N/A</v>
      </c>
      <c r="BJ98" s="7" t="e">
        <f aca="false">INT((($I98*$BE98)+$BC98)*$BF98)</f>
        <v>#N/A</v>
      </c>
      <c r="BK98" s="14"/>
      <c r="BL98" s="7" t="n">
        <f aca="false">VLOOKUP($E98,Role!$A$2:$O$9,13,0)</f>
        <v>1.25</v>
      </c>
      <c r="BM98" s="7" t="n">
        <f aca="false">VLOOKUP($E98,Role!$A$2:$O$9,11,0)</f>
        <v>0.666</v>
      </c>
      <c r="BO98" s="7" t="n">
        <f aca="false">VLOOKUP($E98,Role!$A$2:$O$9,8,0)</f>
        <v>0.75</v>
      </c>
      <c r="BP98" s="7" t="n">
        <f aca="false">VLOOKUP($E98,Role!$A$2:$O$9,9,0)</f>
        <v>0.75</v>
      </c>
      <c r="BQ98" s="7" t="n">
        <f aca="false">VLOOKUP($E98,Role!$A$2:$O$9,10,0)</f>
        <v>0.5</v>
      </c>
    </row>
    <row r="99" customFormat="false" ht="12.8" hidden="false" customHeight="false" outlineLevel="0" collapsed="false">
      <c r="B99" s="2" t="n">
        <v>5</v>
      </c>
      <c r="C99" s="3" t="s">
        <v>63</v>
      </c>
      <c r="D99" s="1" t="s">
        <v>78</v>
      </c>
      <c r="E99" s="1" t="s">
        <v>70</v>
      </c>
      <c r="F99" s="1" t="s">
        <v>79</v>
      </c>
      <c r="G99" s="1" t="s">
        <v>80</v>
      </c>
      <c r="H99" s="4" t="n">
        <f aca="false">VLOOKUP($D99,Size!$A$2:$Z$14,6,0)</f>
        <v>-3</v>
      </c>
      <c r="I99" s="13" t="n">
        <f aca="false">INT(($B99*$AZ99*$AX99*$BA99)+($B99*$AY99))</f>
        <v>2</v>
      </c>
      <c r="J99" s="4" t="n">
        <f aca="false">ROUND((($B99*$AT99)+($AV99*$AU99))*$AW99,0)</f>
        <v>2</v>
      </c>
      <c r="K99" s="4" t="n">
        <f aca="false">ROUND((($B99*$AP99)+($B99*$AQ99))*$AS99,0)</f>
        <v>2</v>
      </c>
      <c r="L99" s="4" t="n">
        <f aca="false">ROUND((($B99*$AM99)+($B99*$AN99))*$AO99,0)</f>
        <v>2</v>
      </c>
      <c r="M99" s="4" t="n">
        <f aca="false">ROUND((($B99*$AG99)+($B99*$AH99))*$AI99,0)</f>
        <v>1</v>
      </c>
      <c r="N99" s="4" t="n">
        <f aca="false">ROUND((($B99*$AJ99)+($B99*$AK99))*$AL99,0)</f>
        <v>2</v>
      </c>
      <c r="O99" s="4" t="n">
        <f aca="false">INT($BO99*$B99)</f>
        <v>3</v>
      </c>
      <c r="P99" s="4" t="n">
        <f aca="false">INT($BP99*$B99)</f>
        <v>3</v>
      </c>
      <c r="Q99" s="4" t="n">
        <f aca="false">INT($BQ99*$B99*$AR99)</f>
        <v>1</v>
      </c>
      <c r="R99" s="4" t="n">
        <f aca="false">IF($R$1="WT/G",INT(POWER($BH99*$BJ99*$BI99,0.333333)),0)+IF($R$1="WT/A",INT(($BH99+$BJ99+$BI99)/3),0)+IF($R$1="WT/A2",INT(($BJ99+$BI99)/2),0)+IF($R$1="WT/W",INT(($BH99+$BJ99+$BJ99+$BI99)/4),0)+IF($R$1="WT/W2",INT(($BH99+$BJ99+$BI99+$BI99)/4),0)+IF($R$1="WT/N",INT(MIN($BH99,$BJ99,$BI99)),0)+IF($R$1="WT/M",INT(MAX($BH99,$BJ99,$BI99)),0)+IF($R$1="WT/1",INT($BH99),0)+IF($R$1="WT/2",INT($BI99),0)+IF($R$1="WT/3",INT($BJ99),0)</f>
        <v>7</v>
      </c>
      <c r="S99" s="4" t="n">
        <f aca="false">INT((10+$M99)*$BL99)</f>
        <v>13</v>
      </c>
      <c r="T99" s="4" t="n">
        <f aca="false">INT($I99*$BM99*$BF99)</f>
        <v>1</v>
      </c>
      <c r="U99" s="2" t="n">
        <f aca="false">ROUND(MAX($J99,$L99)+(MIN($J99,$L99)*$X99),0)</f>
        <v>4</v>
      </c>
      <c r="V99" s="2" t="n">
        <f aca="false">MAX(1,INT(((MIN($I99:$J99)+(MAX($I99:$J99)*$H99*$Y99)))*$Z99))</f>
        <v>1</v>
      </c>
      <c r="X99" s="5" t="n">
        <f aca="false">VLOOKUP($E99,Role!$A$2:$O$9,14,0)</f>
        <v>1</v>
      </c>
      <c r="Y99" s="5" t="n">
        <f aca="false">VLOOKUP($E99,Role!$A$2:$O$9,15,0)</f>
        <v>1</v>
      </c>
      <c r="Z99" s="5" t="n">
        <f aca="false">VLOOKUP($G99,Movement!$A$2:$C$7,3,0)</f>
        <v>1.5</v>
      </c>
      <c r="AB99" s="5" t="n">
        <f aca="false">INT(5+(($H99-1)/3))</f>
        <v>3</v>
      </c>
      <c r="AC99" s="5" t="n">
        <f aca="false">IF($AB99&lt;$I99,$I99-MAX($AB99,$B99),0)</f>
        <v>0</v>
      </c>
      <c r="AD99" s="5" t="n">
        <f aca="false">(5-ROUND(($H99-1)/3,0))</f>
        <v>6</v>
      </c>
      <c r="AE99" s="5" t="n">
        <f aca="false">IF($AD99&lt;$J99,$J99-MAX($AD99,$B99),0)</f>
        <v>0</v>
      </c>
      <c r="AG99" s="6" t="n">
        <f aca="false">VLOOKUP($F99,Category!$A$2:$AZ$20,24,0)</f>
        <v>0</v>
      </c>
      <c r="AH99" s="6" t="n">
        <f aca="false">VLOOKUP($F99,Category!$A$2:$AZ$20,26,0)</f>
        <v>0.333333333333333</v>
      </c>
      <c r="AI99" s="6" t="n">
        <f aca="false">VLOOKUP($E99,Role!$A$2:$O$9,6,0)</f>
        <v>0.666</v>
      </c>
      <c r="AJ99" s="6" t="n">
        <f aca="false">VLOOKUP($F99,Category!$A$2:$AZ$20,19,0)</f>
        <v>0.0909090909090909</v>
      </c>
      <c r="AK99" s="6" t="n">
        <f aca="false">VLOOKUP($F99,Category!$A$2:$AZ$20,21,0)</f>
        <v>0.545454545454545</v>
      </c>
      <c r="AL99" s="6" t="n">
        <f aca="false">VLOOKUP($E99,Role!$A$2:$O$9,7,0)</f>
        <v>0.666</v>
      </c>
      <c r="AM99" s="6" t="n">
        <f aca="false">VLOOKUP($F99,Category!$A$2:$AZ$20,19,0)</f>
        <v>0.0909090909090909</v>
      </c>
      <c r="AN99" s="6" t="n">
        <f aca="false">VLOOKUP($F99,Category!$A$2:$AZ$20,21,0)</f>
        <v>0.545454545454545</v>
      </c>
      <c r="AO99" s="6" t="n">
        <f aca="false">VLOOKUP($E99,Role!$A$2:$O$9,5,0)</f>
        <v>0.666</v>
      </c>
      <c r="AP99" s="6" t="n">
        <f aca="false">VLOOKUP($F99,Category!$A$2:$AZ$20,9,0)</f>
        <v>0</v>
      </c>
      <c r="AQ99" s="6" t="n">
        <f aca="false">VLOOKUP($F99,Category!$A$2:$AZ$20,11,0)</f>
        <v>0.555555555555556</v>
      </c>
      <c r="AR99" s="6" t="n">
        <f aca="false">VLOOKUP($F99,Category!$A$2:$AZ$20,10,0)</f>
        <v>0.555555555555556</v>
      </c>
      <c r="AS99" s="6" t="n">
        <f aca="false">VLOOKUP($E99,Role!$A$2:$O$9,4,0)</f>
        <v>0.666</v>
      </c>
      <c r="AT99" s="7" t="n">
        <f aca="false">VLOOKUP($F99,Category!$A$2:$AZ$20,14,0)</f>
        <v>0.416666666666667</v>
      </c>
      <c r="AU99" s="7" t="n">
        <f aca="false">VLOOKUP($F99,Category!$A$2:$AZ$20,16,0)</f>
        <v>0.25</v>
      </c>
      <c r="AV99" s="7" t="n">
        <f aca="false">VLOOKUP($D99,Size!$A$2:$Z$14,17,0)</f>
        <v>4</v>
      </c>
      <c r="AW99" s="7" t="n">
        <f aca="false">VLOOKUP($E99,Role!$A$2:$O$9,3,0)</f>
        <v>0.666</v>
      </c>
      <c r="AX99" s="7" t="n">
        <f aca="false">VLOOKUP($F99,Category!$A$2:$AZ$20,29,0)</f>
        <v>0.333333333333333</v>
      </c>
      <c r="AY99" s="7" t="n">
        <f aca="false">VLOOKUP($F99,Category!$A$2:$AZ$20,31,0)</f>
        <v>0.333333333333333</v>
      </c>
      <c r="AZ99" s="7" t="n">
        <f aca="false">VLOOKUP($D99,Size!$A$2:$Z$14,16,0)</f>
        <v>1</v>
      </c>
      <c r="BA99" s="7" t="n">
        <f aca="false">VLOOKUP($E99,Role!$A$2:$O$9,2,0)</f>
        <v>0.666</v>
      </c>
      <c r="BC99" s="7" t="n">
        <f aca="false">VLOOKUP($D99,Size!$A$2:$Z$14,19,0)</f>
        <v>6</v>
      </c>
      <c r="BD99" s="7" t="n">
        <f aca="false">VLOOKUP($D99,Size!$A$2:$Z$14,20,0)</f>
        <v>0.33</v>
      </c>
      <c r="BE99" s="7" t="n">
        <f aca="false">VLOOKUP($E99,Role!$A$2:$O$9,12,0)</f>
        <v>1.25</v>
      </c>
      <c r="BF99" s="7" t="n">
        <f aca="false">VLOOKUP($C99,Type!$A$2:$B$4,2,0)</f>
        <v>1</v>
      </c>
      <c r="BG99" s="7" t="n">
        <f aca="false">VLOOKUP($D99,Size!$A$2:$Z$14,18,0)</f>
        <v>2.71683715631514</v>
      </c>
      <c r="BH99" s="7" t="n">
        <f aca="false">INT($BF99*$BG99*$BE99*$B99/2)</f>
        <v>8</v>
      </c>
      <c r="BI99" s="7" t="n">
        <f aca="false">INT(($BC99*$BF99)+($I99*$BD99))</f>
        <v>6</v>
      </c>
      <c r="BJ99" s="7" t="n">
        <f aca="false">INT((($I99*$BE99)+$BC99)*$BF99)</f>
        <v>8</v>
      </c>
      <c r="BK99" s="14"/>
      <c r="BL99" s="7" t="n">
        <f aca="false">VLOOKUP($E99,Role!$A$2:$O$9,13,0)</f>
        <v>1.25</v>
      </c>
      <c r="BM99" s="7" t="n">
        <f aca="false">VLOOKUP($E99,Role!$A$2:$O$9,11,0)</f>
        <v>0.666</v>
      </c>
      <c r="BO99" s="7" t="n">
        <f aca="false">VLOOKUP($E99,Role!$A$2:$O$9,8,0)</f>
        <v>0.75</v>
      </c>
      <c r="BP99" s="7" t="n">
        <f aca="false">VLOOKUP($E99,Role!$A$2:$O$9,9,0)</f>
        <v>0.75</v>
      </c>
      <c r="BQ99" s="7" t="n">
        <f aca="false">VLOOKUP($E99,Role!$A$2:$O$9,10,0)</f>
        <v>0.5</v>
      </c>
    </row>
    <row r="100" customFormat="false" ht="12.8" hidden="false" customHeight="false" outlineLevel="0" collapsed="false">
      <c r="B100" s="2" t="n">
        <v>5</v>
      </c>
      <c r="C100" s="3" t="s">
        <v>63</v>
      </c>
      <c r="D100" s="1" t="s">
        <v>81</v>
      </c>
      <c r="E100" s="1" t="s">
        <v>70</v>
      </c>
      <c r="F100" s="1" t="s">
        <v>79</v>
      </c>
      <c r="G100" s="1" t="s">
        <v>80</v>
      </c>
      <c r="H100" s="4" t="n">
        <f aca="false">VLOOKUP($D100,Size!$A$2:$Z$14,6,0)</f>
        <v>-2</v>
      </c>
      <c r="I100" s="13" t="n">
        <f aca="false">INT(($B100*$AZ100*$AX100*$BA100)+($B100*$AY100))</f>
        <v>3</v>
      </c>
      <c r="J100" s="4" t="n">
        <f aca="false">ROUND((($B100*$AT100)+($AV100*$AU100))*$AW100,0)</f>
        <v>2</v>
      </c>
      <c r="K100" s="4" t="n">
        <f aca="false">ROUND((($B100*$AP100)+($B100*$AQ100))*$AS100,0)</f>
        <v>2</v>
      </c>
      <c r="L100" s="4" t="n">
        <f aca="false">ROUND((($B100*$AM100)+($B100*$AN100))*$AO100,0)</f>
        <v>2</v>
      </c>
      <c r="M100" s="4" t="n">
        <f aca="false">ROUND((($B100*$AG100)+($B100*$AH100))*$AI100,0)</f>
        <v>1</v>
      </c>
      <c r="N100" s="4" t="n">
        <f aca="false">ROUND((($B100*$AJ100)+($B100*$AK100))*$AL100,0)</f>
        <v>2</v>
      </c>
      <c r="O100" s="4" t="n">
        <f aca="false">INT($BO100*$B100)</f>
        <v>3</v>
      </c>
      <c r="P100" s="4" t="n">
        <f aca="false">INT($BP100*$B100)</f>
        <v>3</v>
      </c>
      <c r="Q100" s="4" t="n">
        <f aca="false">INT($BQ100*$B100*$AR100)</f>
        <v>1</v>
      </c>
      <c r="R100" s="4" t="n">
        <f aca="false">IF($R$1="WT/G",INT(POWER($BH100*$BJ100*$BI100,0.333333)),0)+IF($R$1="WT/A",INT(($BH100+$BJ100+$BI100)/3),0)+IF($R$1="WT/A2",INT(($BJ100+$BI100)/2),0)+IF($R$1="WT/W",INT(($BH100+$BJ100+$BJ100+$BI100)/4),0)+IF($R$1="WT/W2",INT(($BH100+$BJ100+$BI100+$BI100)/4),0)+IF($R$1="WT/N",INT(MIN($BH100,$BJ100,$BI100)),0)+IF($R$1="WT/M",INT(MAX($BH100,$BJ100,$BI100)),0)+IF($R$1="WT/1",INT($BH100),0)+IF($R$1="WT/2",INT($BI100),0)+IF($R$1="WT/3",INT($BJ100),0)</f>
        <v>11</v>
      </c>
      <c r="S100" s="4" t="n">
        <f aca="false">INT((10+$M100)*$BL100)</f>
        <v>13</v>
      </c>
      <c r="T100" s="4" t="n">
        <f aca="false">INT($I100*$BM100*$BF100)</f>
        <v>1</v>
      </c>
      <c r="U100" s="2" t="n">
        <f aca="false">ROUND(MAX($J100,$L100)+(MIN($J100,$L100)*$X100),0)</f>
        <v>4</v>
      </c>
      <c r="V100" s="2" t="n">
        <f aca="false">MAX(1,INT(((MIN($I100:$J100)+(MAX($I100:$J100)*$H100*$Y100)))*$Z100))</f>
        <v>1</v>
      </c>
      <c r="X100" s="5" t="n">
        <f aca="false">VLOOKUP($E100,Role!$A$2:$O$9,14,0)</f>
        <v>1</v>
      </c>
      <c r="Y100" s="5" t="n">
        <f aca="false">VLOOKUP($E100,Role!$A$2:$O$9,15,0)</f>
        <v>1</v>
      </c>
      <c r="Z100" s="5" t="n">
        <f aca="false">VLOOKUP($G100,Movement!$A$2:$C$7,3,0)</f>
        <v>1.5</v>
      </c>
      <c r="AB100" s="5" t="n">
        <f aca="false">INT(5+(($H100-1)/3))</f>
        <v>4</v>
      </c>
      <c r="AC100" s="5" t="n">
        <f aca="false">IF($AB100&lt;$I100,$I100-MAX($AB100,$B100),0)</f>
        <v>0</v>
      </c>
      <c r="AD100" s="5" t="n">
        <f aca="false">(5-ROUND(($H100-1)/3,0))</f>
        <v>6</v>
      </c>
      <c r="AE100" s="5" t="n">
        <f aca="false">IF($AD100&lt;$J100,$J100-MAX($AD100,$B100),0)</f>
        <v>0</v>
      </c>
      <c r="AG100" s="6" t="n">
        <f aca="false">VLOOKUP($F100,Category!$A$2:$AZ$20,24,0)</f>
        <v>0</v>
      </c>
      <c r="AH100" s="6" t="n">
        <f aca="false">VLOOKUP($F100,Category!$A$2:$AZ$20,26,0)</f>
        <v>0.333333333333333</v>
      </c>
      <c r="AI100" s="6" t="n">
        <f aca="false">VLOOKUP($E100,Role!$A$2:$O$9,6,0)</f>
        <v>0.666</v>
      </c>
      <c r="AJ100" s="6" t="n">
        <f aca="false">VLOOKUP($F100,Category!$A$2:$AZ$20,19,0)</f>
        <v>0.0909090909090909</v>
      </c>
      <c r="AK100" s="6" t="n">
        <f aca="false">VLOOKUP($F100,Category!$A$2:$AZ$20,21,0)</f>
        <v>0.545454545454545</v>
      </c>
      <c r="AL100" s="6" t="n">
        <f aca="false">VLOOKUP($E100,Role!$A$2:$O$9,7,0)</f>
        <v>0.666</v>
      </c>
      <c r="AM100" s="6" t="n">
        <f aca="false">VLOOKUP($F100,Category!$A$2:$AZ$20,19,0)</f>
        <v>0.0909090909090909</v>
      </c>
      <c r="AN100" s="6" t="n">
        <f aca="false">VLOOKUP($F100,Category!$A$2:$AZ$20,21,0)</f>
        <v>0.545454545454545</v>
      </c>
      <c r="AO100" s="6" t="n">
        <f aca="false">VLOOKUP($E100,Role!$A$2:$O$9,5,0)</f>
        <v>0.666</v>
      </c>
      <c r="AP100" s="6" t="n">
        <f aca="false">VLOOKUP($F100,Category!$A$2:$AZ$20,9,0)</f>
        <v>0</v>
      </c>
      <c r="AQ100" s="6" t="n">
        <f aca="false">VLOOKUP($F100,Category!$A$2:$AZ$20,11,0)</f>
        <v>0.555555555555556</v>
      </c>
      <c r="AR100" s="6" t="n">
        <f aca="false">VLOOKUP($F100,Category!$A$2:$AZ$20,10,0)</f>
        <v>0.555555555555556</v>
      </c>
      <c r="AS100" s="6" t="n">
        <f aca="false">VLOOKUP($E100,Role!$A$2:$O$9,4,0)</f>
        <v>0.666</v>
      </c>
      <c r="AT100" s="7" t="n">
        <f aca="false">VLOOKUP($F100,Category!$A$2:$AZ$20,14,0)</f>
        <v>0.416666666666667</v>
      </c>
      <c r="AU100" s="7" t="n">
        <f aca="false">VLOOKUP($F100,Category!$A$2:$AZ$20,16,0)</f>
        <v>0.25</v>
      </c>
      <c r="AV100" s="7" t="n">
        <f aca="false">VLOOKUP($D100,Size!$A$2:$Z$14,17,0)</f>
        <v>3</v>
      </c>
      <c r="AW100" s="7" t="n">
        <f aca="false">VLOOKUP($E100,Role!$A$2:$O$9,3,0)</f>
        <v>0.666</v>
      </c>
      <c r="AX100" s="7" t="n">
        <f aca="false">VLOOKUP($F100,Category!$A$2:$AZ$20,29,0)</f>
        <v>0.333333333333333</v>
      </c>
      <c r="AY100" s="7" t="n">
        <f aca="false">VLOOKUP($F100,Category!$A$2:$AZ$20,31,0)</f>
        <v>0.333333333333333</v>
      </c>
      <c r="AZ100" s="7" t="n">
        <f aca="false">VLOOKUP($D100,Size!$A$2:$Z$14,16,0)</f>
        <v>2</v>
      </c>
      <c r="BA100" s="7" t="n">
        <f aca="false">VLOOKUP($E100,Role!$A$2:$O$9,2,0)</f>
        <v>0.666</v>
      </c>
      <c r="BC100" s="7" t="n">
        <f aca="false">VLOOKUP($D100,Size!$A$2:$Z$14,19,0)</f>
        <v>7</v>
      </c>
      <c r="BD100" s="7" t="n">
        <f aca="false">VLOOKUP($D100,Size!$A$2:$Z$14,20,0)</f>
        <v>0.5</v>
      </c>
      <c r="BE100" s="7" t="n">
        <f aca="false">VLOOKUP($E100,Role!$A$2:$O$9,12,0)</f>
        <v>1.25</v>
      </c>
      <c r="BF100" s="7" t="n">
        <f aca="false">VLOOKUP($C100,Type!$A$2:$B$4,2,0)</f>
        <v>1</v>
      </c>
      <c r="BG100" s="7" t="n">
        <f aca="false">VLOOKUP($D100,Size!$A$2:$Z$14,18,0)</f>
        <v>6.5643914849257</v>
      </c>
      <c r="BH100" s="7" t="n">
        <f aca="false">INT($BF100*$BG100*$BE100*$B100/2)</f>
        <v>20</v>
      </c>
      <c r="BI100" s="7" t="n">
        <f aca="false">INT(($BC100*$BF100)+($I100*$BD100))</f>
        <v>8</v>
      </c>
      <c r="BJ100" s="7" t="n">
        <f aca="false">INT((($I100*$BE100)+$BC100)*$BF100)</f>
        <v>10</v>
      </c>
      <c r="BK100" s="14"/>
      <c r="BL100" s="7" t="n">
        <f aca="false">VLOOKUP($E100,Role!$A$2:$O$9,13,0)</f>
        <v>1.25</v>
      </c>
      <c r="BM100" s="7" t="n">
        <f aca="false">VLOOKUP($E100,Role!$A$2:$O$9,11,0)</f>
        <v>0.666</v>
      </c>
      <c r="BO100" s="7" t="n">
        <f aca="false">VLOOKUP($E100,Role!$A$2:$O$9,8,0)</f>
        <v>0.75</v>
      </c>
      <c r="BP100" s="7" t="n">
        <f aca="false">VLOOKUP($E100,Role!$A$2:$O$9,9,0)</f>
        <v>0.75</v>
      </c>
      <c r="BQ100" s="7" t="n">
        <f aca="false">VLOOKUP($E100,Role!$A$2:$O$9,10,0)</f>
        <v>0.5</v>
      </c>
    </row>
    <row r="101" customFormat="false" ht="12.8" hidden="false" customHeight="false" outlineLevel="0" collapsed="false">
      <c r="B101" s="2" t="n">
        <v>5</v>
      </c>
      <c r="C101" s="3" t="s">
        <v>63</v>
      </c>
      <c r="D101" s="1" t="s">
        <v>82</v>
      </c>
      <c r="E101" s="1" t="s">
        <v>70</v>
      </c>
      <c r="F101" s="1" t="s">
        <v>79</v>
      </c>
      <c r="G101" s="1" t="s">
        <v>80</v>
      </c>
      <c r="H101" s="4" t="n">
        <f aca="false">VLOOKUP($D101,Size!$A$2:$Z$14,6,0)</f>
        <v>-1</v>
      </c>
      <c r="I101" s="13" t="n">
        <f aca="false">INT(($B101*$AZ101*$AX101*$BA101)+($B101*$AY101))</f>
        <v>3</v>
      </c>
      <c r="J101" s="4" t="n">
        <f aca="false">ROUND((($B101*$AT101)+($AV101*$AU101))*$AW101,0)</f>
        <v>2</v>
      </c>
      <c r="K101" s="4" t="n">
        <f aca="false">ROUND((($B101*$AP101)+($B101*$AQ101))*$AS101,0)</f>
        <v>2</v>
      </c>
      <c r="L101" s="4" t="n">
        <f aca="false">ROUND((($B101*$AM101)+($B101*$AN101))*$AO101,0)</f>
        <v>2</v>
      </c>
      <c r="M101" s="4" t="n">
        <f aca="false">ROUND((($B101*$AG101)+($B101*$AH101))*$AI101,0)</f>
        <v>1</v>
      </c>
      <c r="N101" s="4" t="n">
        <f aca="false">ROUND((($B101*$AJ101)+($B101*$AK101))*$AL101,0)</f>
        <v>2</v>
      </c>
      <c r="O101" s="4" t="n">
        <f aca="false">INT($BO101*$B101)</f>
        <v>3</v>
      </c>
      <c r="P101" s="4" t="n">
        <f aca="false">INT($BP101*$B101)</f>
        <v>3</v>
      </c>
      <c r="Q101" s="4" t="n">
        <f aca="false">INT($BQ101*$B101*$AR101)</f>
        <v>1</v>
      </c>
      <c r="R101" s="4" t="n">
        <f aca="false">IF($R$1="WT/G",INT(POWER($BH101*$BJ101*$BI101,0.333333)),0)+IF($R$1="WT/A",INT(($BH101+$BJ101+$BI101)/3),0)+IF($R$1="WT/A2",INT(($BJ101+$BI101)/2),0)+IF($R$1="WT/W",INT(($BH101+$BJ101+$BJ101+$BI101)/4),0)+IF($R$1="WT/W2",INT(($BH101+$BJ101+$BI101+$BI101)/4),0)+IF($R$1="WT/N",INT(MIN($BH101,$BJ101,$BI101)),0)+IF($R$1="WT/M",INT(MAX($BH101,$BJ101,$BI101)),0)+IF($R$1="WT/1",INT($BH101),0)+IF($R$1="WT/2",INT($BI101),0)+IF($R$1="WT/3",INT($BJ101),0)</f>
        <v>13</v>
      </c>
      <c r="S101" s="4" t="n">
        <f aca="false">INT((10+$M101)*$BL101)</f>
        <v>13</v>
      </c>
      <c r="T101" s="4" t="n">
        <f aca="false">INT($I101*$BM101*$BF101)</f>
        <v>1</v>
      </c>
      <c r="U101" s="2" t="n">
        <f aca="false">ROUND(MAX($J101,$L101)+(MIN($J101,$L101)*$X101),0)</f>
        <v>4</v>
      </c>
      <c r="V101" s="2" t="n">
        <f aca="false">MAX(1,INT(((MIN($I101:$J101)+(MAX($I101:$J101)*$H101*$Y101)))*$Z101))</f>
        <v>1</v>
      </c>
      <c r="X101" s="5" t="n">
        <f aca="false">VLOOKUP($E101,Role!$A$2:$O$9,14,0)</f>
        <v>1</v>
      </c>
      <c r="Y101" s="5" t="n">
        <f aca="false">VLOOKUP($E101,Role!$A$2:$O$9,15,0)</f>
        <v>1</v>
      </c>
      <c r="Z101" s="5" t="n">
        <f aca="false">VLOOKUP($G101,Movement!$A$2:$C$7,3,0)</f>
        <v>1.5</v>
      </c>
      <c r="AB101" s="5" t="n">
        <f aca="false">INT(5+(($H101-1)/3))</f>
        <v>4</v>
      </c>
      <c r="AC101" s="5" t="n">
        <f aca="false">IF($AB101&lt;$I101,$I101-MAX($AB101,$B101),0)</f>
        <v>0</v>
      </c>
      <c r="AD101" s="5" t="n">
        <f aca="false">(5-ROUND(($H101-1)/3,0))</f>
        <v>6</v>
      </c>
      <c r="AE101" s="5" t="n">
        <f aca="false">IF($AD101&lt;$J101,$J101-MAX($AD101,$B101),0)</f>
        <v>0</v>
      </c>
      <c r="AG101" s="6" t="n">
        <f aca="false">VLOOKUP($F101,Category!$A$2:$AZ$20,24,0)</f>
        <v>0</v>
      </c>
      <c r="AH101" s="6" t="n">
        <f aca="false">VLOOKUP($F101,Category!$A$2:$AZ$20,26,0)</f>
        <v>0.333333333333333</v>
      </c>
      <c r="AI101" s="6" t="n">
        <f aca="false">VLOOKUP($E101,Role!$A$2:$O$9,6,0)</f>
        <v>0.666</v>
      </c>
      <c r="AJ101" s="6" t="n">
        <f aca="false">VLOOKUP($F101,Category!$A$2:$AZ$20,19,0)</f>
        <v>0.0909090909090909</v>
      </c>
      <c r="AK101" s="6" t="n">
        <f aca="false">VLOOKUP($F101,Category!$A$2:$AZ$20,21,0)</f>
        <v>0.545454545454545</v>
      </c>
      <c r="AL101" s="6" t="n">
        <f aca="false">VLOOKUP($E101,Role!$A$2:$O$9,7,0)</f>
        <v>0.666</v>
      </c>
      <c r="AM101" s="6" t="n">
        <f aca="false">VLOOKUP($F101,Category!$A$2:$AZ$20,19,0)</f>
        <v>0.0909090909090909</v>
      </c>
      <c r="AN101" s="6" t="n">
        <f aca="false">VLOOKUP($F101,Category!$A$2:$AZ$20,21,0)</f>
        <v>0.545454545454545</v>
      </c>
      <c r="AO101" s="6" t="n">
        <f aca="false">VLOOKUP($E101,Role!$A$2:$O$9,5,0)</f>
        <v>0.666</v>
      </c>
      <c r="AP101" s="6" t="n">
        <f aca="false">VLOOKUP($F101,Category!$A$2:$AZ$20,9,0)</f>
        <v>0</v>
      </c>
      <c r="AQ101" s="6" t="n">
        <f aca="false">VLOOKUP($F101,Category!$A$2:$AZ$20,11,0)</f>
        <v>0.555555555555556</v>
      </c>
      <c r="AR101" s="6" t="n">
        <f aca="false">VLOOKUP($F101,Category!$A$2:$AZ$20,10,0)</f>
        <v>0.555555555555556</v>
      </c>
      <c r="AS101" s="6" t="n">
        <f aca="false">VLOOKUP($E101,Role!$A$2:$O$9,4,0)</f>
        <v>0.666</v>
      </c>
      <c r="AT101" s="7" t="n">
        <f aca="false">VLOOKUP($F101,Category!$A$2:$AZ$20,14,0)</f>
        <v>0.416666666666667</v>
      </c>
      <c r="AU101" s="7" t="n">
        <f aca="false">VLOOKUP($F101,Category!$A$2:$AZ$20,16,0)</f>
        <v>0.25</v>
      </c>
      <c r="AV101" s="7" t="n">
        <f aca="false">VLOOKUP($D101,Size!$A$2:$Z$14,17,0)</f>
        <v>3</v>
      </c>
      <c r="AW101" s="7" t="n">
        <f aca="false">VLOOKUP($E101,Role!$A$2:$O$9,3,0)</f>
        <v>0.666</v>
      </c>
      <c r="AX101" s="7" t="n">
        <f aca="false">VLOOKUP($F101,Category!$A$2:$AZ$20,29,0)</f>
        <v>0.333333333333333</v>
      </c>
      <c r="AY101" s="7" t="n">
        <f aca="false">VLOOKUP($F101,Category!$A$2:$AZ$20,31,0)</f>
        <v>0.333333333333333</v>
      </c>
      <c r="AZ101" s="7" t="n">
        <f aca="false">VLOOKUP($D101,Size!$A$2:$Z$14,16,0)</f>
        <v>2</v>
      </c>
      <c r="BA101" s="7" t="n">
        <f aca="false">VLOOKUP($E101,Role!$A$2:$O$9,2,0)</f>
        <v>0.666</v>
      </c>
      <c r="BC101" s="7" t="n">
        <f aca="false">VLOOKUP($D101,Size!$A$2:$Z$14,19,0)</f>
        <v>8</v>
      </c>
      <c r="BD101" s="7" t="n">
        <f aca="false">VLOOKUP($D101,Size!$A$2:$Z$14,20,0)</f>
        <v>0.66</v>
      </c>
      <c r="BE101" s="7" t="n">
        <f aca="false">VLOOKUP($E101,Role!$A$2:$O$9,12,0)</f>
        <v>1.25</v>
      </c>
      <c r="BF101" s="7" t="n">
        <f aca="false">VLOOKUP($C101,Type!$A$2:$B$4,2,0)</f>
        <v>1</v>
      </c>
      <c r="BG101" s="7" t="n">
        <f aca="false">VLOOKUP($D101,Size!$A$2:$Z$14,18,0)</f>
        <v>8.28567304322775</v>
      </c>
      <c r="BH101" s="7" t="n">
        <f aca="false">INT($BF101*$BG101*$BE101*$B101/2)</f>
        <v>25</v>
      </c>
      <c r="BI101" s="7" t="n">
        <f aca="false">INT(($BC101*$BF101)+($I101*$BD101))</f>
        <v>9</v>
      </c>
      <c r="BJ101" s="7" t="n">
        <f aca="false">INT((($I101*$BE101)+$BC101)*$BF101)</f>
        <v>11</v>
      </c>
      <c r="BK101" s="14"/>
      <c r="BL101" s="7" t="n">
        <f aca="false">VLOOKUP($E101,Role!$A$2:$O$9,13,0)</f>
        <v>1.25</v>
      </c>
      <c r="BM101" s="7" t="n">
        <f aca="false">VLOOKUP($E101,Role!$A$2:$O$9,11,0)</f>
        <v>0.666</v>
      </c>
      <c r="BO101" s="7" t="n">
        <f aca="false">VLOOKUP($E101,Role!$A$2:$O$9,8,0)</f>
        <v>0.75</v>
      </c>
      <c r="BP101" s="7" t="n">
        <f aca="false">VLOOKUP($E101,Role!$A$2:$O$9,9,0)</f>
        <v>0.75</v>
      </c>
      <c r="BQ101" s="7" t="n">
        <f aca="false">VLOOKUP($E101,Role!$A$2:$O$9,10,0)</f>
        <v>0.5</v>
      </c>
    </row>
    <row r="102" customFormat="false" ht="12.8" hidden="false" customHeight="false" outlineLevel="0" collapsed="false">
      <c r="B102" s="2" t="n">
        <v>5</v>
      </c>
      <c r="C102" s="3" t="s">
        <v>63</v>
      </c>
      <c r="D102" s="1" t="s">
        <v>83</v>
      </c>
      <c r="E102" s="1" t="s">
        <v>70</v>
      </c>
      <c r="F102" s="1" t="s">
        <v>79</v>
      </c>
      <c r="G102" s="1" t="s">
        <v>80</v>
      </c>
      <c r="H102" s="4" t="n">
        <f aca="false">VLOOKUP($D102,Size!$A$2:$Z$14,6,0)</f>
        <v>0</v>
      </c>
      <c r="I102" s="13" t="n">
        <f aca="false">INT(($B102*$AZ102*$AX102*$BA102)+($B102*$AY102))</f>
        <v>3</v>
      </c>
      <c r="J102" s="4" t="n">
        <f aca="false">ROUND((($B102*$AT102)+($AV102*$AU102))*$AW102,0)</f>
        <v>2</v>
      </c>
      <c r="K102" s="4" t="n">
        <f aca="false">ROUND((($B102*$AP102)+($B102*$AQ102))*$AS102,0)</f>
        <v>2</v>
      </c>
      <c r="L102" s="4" t="n">
        <f aca="false">ROUND((($B102*$AM102)+($B102*$AN102))*$AO102,0)</f>
        <v>2</v>
      </c>
      <c r="M102" s="4" t="n">
        <f aca="false">ROUND((($B102*$AG102)+($B102*$AH102))*$AI102,0)</f>
        <v>1</v>
      </c>
      <c r="N102" s="4" t="n">
        <f aca="false">ROUND((($B102*$AJ102)+($B102*$AK102))*$AL102,0)</f>
        <v>2</v>
      </c>
      <c r="O102" s="4" t="n">
        <f aca="false">INT($BO102*$B102)</f>
        <v>3</v>
      </c>
      <c r="P102" s="4" t="n">
        <f aca="false">INT($BP102*$B102)</f>
        <v>3</v>
      </c>
      <c r="Q102" s="4" t="n">
        <f aca="false">INT($BQ102*$B102*$AR102)</f>
        <v>1</v>
      </c>
      <c r="R102" s="4" t="n">
        <f aca="false">IF($R$1="WT/G",INT(POWER($BH102*$BJ102*$BI102,0.333333)),0)+IF($R$1="WT/A",INT(($BH102+$BJ102+$BI102)/3),0)+IF($R$1="WT/A2",INT(($BJ102+$BI102)/2),0)+IF($R$1="WT/W",INT(($BH102+$BJ102+$BJ102+$BI102)/4),0)+IF($R$1="WT/W2",INT(($BH102+$BJ102+$BI102+$BI102)/4),0)+IF($R$1="WT/N",INT(MIN($BH102,$BJ102,$BI102)),0)+IF($R$1="WT/M",INT(MAX($BH102,$BJ102,$BI102)),0)+IF($R$1="WT/1",INT($BH102),0)+IF($R$1="WT/2",INT($BI102),0)+IF($R$1="WT/3",INT($BJ102),0)</f>
        <v>16</v>
      </c>
      <c r="S102" s="4" t="n">
        <f aca="false">INT((10+$M102)*$BL102)</f>
        <v>13</v>
      </c>
      <c r="T102" s="4" t="n">
        <f aca="false">INT($I102*$BM102*$BF102)</f>
        <v>1</v>
      </c>
      <c r="U102" s="2" t="n">
        <f aca="false">ROUND(MAX($J102,$L102)+(MIN($J102,$L102)*$X102),0)</f>
        <v>4</v>
      </c>
      <c r="V102" s="2" t="n">
        <f aca="false">MAX(1,INT(((MIN($I102:$J102)+(MAX($I102:$J102)*$H102*$Y102)))*$Z102))</f>
        <v>3</v>
      </c>
      <c r="X102" s="5" t="n">
        <f aca="false">VLOOKUP($E102,Role!$A$2:$O$9,14,0)</f>
        <v>1</v>
      </c>
      <c r="Y102" s="5" t="n">
        <f aca="false">VLOOKUP($E102,Role!$A$2:$O$9,15,0)</f>
        <v>1</v>
      </c>
      <c r="Z102" s="5" t="n">
        <f aca="false">VLOOKUP($G102,Movement!$A$2:$C$7,3,0)</f>
        <v>1.5</v>
      </c>
      <c r="AB102" s="5" t="n">
        <f aca="false">INT(5+(($H102-1)/3))</f>
        <v>4</v>
      </c>
      <c r="AC102" s="5" t="n">
        <f aca="false">IF($AB102&lt;$I102,$I102-MAX($AB102,$B102),0)</f>
        <v>0</v>
      </c>
      <c r="AD102" s="5" t="n">
        <f aca="false">(5-ROUND(($H102-1)/3,0))</f>
        <v>5</v>
      </c>
      <c r="AE102" s="5" t="n">
        <f aca="false">IF($AD102&lt;$J102,$J102-MAX($AD102,$B102),0)</f>
        <v>0</v>
      </c>
      <c r="AG102" s="6" t="n">
        <f aca="false">VLOOKUP($F102,Category!$A$2:$AZ$20,24,0)</f>
        <v>0</v>
      </c>
      <c r="AH102" s="6" t="n">
        <f aca="false">VLOOKUP($F102,Category!$A$2:$AZ$20,26,0)</f>
        <v>0.333333333333333</v>
      </c>
      <c r="AI102" s="6" t="n">
        <f aca="false">VLOOKUP($E102,Role!$A$2:$O$9,6,0)</f>
        <v>0.666</v>
      </c>
      <c r="AJ102" s="6" t="n">
        <f aca="false">VLOOKUP($F102,Category!$A$2:$AZ$20,19,0)</f>
        <v>0.0909090909090909</v>
      </c>
      <c r="AK102" s="6" t="n">
        <f aca="false">VLOOKUP($F102,Category!$A$2:$AZ$20,21,0)</f>
        <v>0.545454545454545</v>
      </c>
      <c r="AL102" s="6" t="n">
        <f aca="false">VLOOKUP($E102,Role!$A$2:$O$9,7,0)</f>
        <v>0.666</v>
      </c>
      <c r="AM102" s="6" t="n">
        <f aca="false">VLOOKUP($F102,Category!$A$2:$AZ$20,19,0)</f>
        <v>0.0909090909090909</v>
      </c>
      <c r="AN102" s="6" t="n">
        <f aca="false">VLOOKUP($F102,Category!$A$2:$AZ$20,21,0)</f>
        <v>0.545454545454545</v>
      </c>
      <c r="AO102" s="6" t="n">
        <f aca="false">VLOOKUP($E102,Role!$A$2:$O$9,5,0)</f>
        <v>0.666</v>
      </c>
      <c r="AP102" s="6" t="n">
        <f aca="false">VLOOKUP($F102,Category!$A$2:$AZ$20,9,0)</f>
        <v>0</v>
      </c>
      <c r="AQ102" s="6" t="n">
        <f aca="false">VLOOKUP($F102,Category!$A$2:$AZ$20,11,0)</f>
        <v>0.555555555555556</v>
      </c>
      <c r="AR102" s="6" t="n">
        <f aca="false">VLOOKUP($F102,Category!$A$2:$AZ$20,10,0)</f>
        <v>0.555555555555556</v>
      </c>
      <c r="AS102" s="6" t="n">
        <f aca="false">VLOOKUP($E102,Role!$A$2:$O$9,4,0)</f>
        <v>0.666</v>
      </c>
      <c r="AT102" s="7" t="n">
        <f aca="false">VLOOKUP($F102,Category!$A$2:$AZ$20,14,0)</f>
        <v>0.416666666666667</v>
      </c>
      <c r="AU102" s="7" t="n">
        <f aca="false">VLOOKUP($F102,Category!$A$2:$AZ$20,16,0)</f>
        <v>0.25</v>
      </c>
      <c r="AV102" s="7" t="n">
        <f aca="false">VLOOKUP($D102,Size!$A$2:$Z$14,17,0)</f>
        <v>3</v>
      </c>
      <c r="AW102" s="7" t="n">
        <f aca="false">VLOOKUP($E102,Role!$A$2:$O$9,3,0)</f>
        <v>0.666</v>
      </c>
      <c r="AX102" s="7" t="n">
        <f aca="false">VLOOKUP($F102,Category!$A$2:$AZ$20,29,0)</f>
        <v>0.333333333333333</v>
      </c>
      <c r="AY102" s="7" t="n">
        <f aca="false">VLOOKUP($F102,Category!$A$2:$AZ$20,31,0)</f>
        <v>0.333333333333333</v>
      </c>
      <c r="AZ102" s="7" t="n">
        <f aca="false">VLOOKUP($D102,Size!$A$2:$Z$14,16,0)</f>
        <v>2</v>
      </c>
      <c r="BA102" s="7" t="n">
        <f aca="false">VLOOKUP($E102,Role!$A$2:$O$9,2,0)</f>
        <v>0.666</v>
      </c>
      <c r="BC102" s="7" t="n">
        <f aca="false">VLOOKUP($D102,Size!$A$2:$Z$14,19,0)</f>
        <v>9</v>
      </c>
      <c r="BD102" s="7" t="n">
        <f aca="false">VLOOKUP($D102,Size!$A$2:$Z$14,20,0)</f>
        <v>0.75</v>
      </c>
      <c r="BE102" s="7" t="n">
        <f aca="false">VLOOKUP($E102,Role!$A$2:$O$9,12,0)</f>
        <v>1.25</v>
      </c>
      <c r="BF102" s="7" t="n">
        <f aca="false">VLOOKUP($C102,Type!$A$2:$B$4,2,0)</f>
        <v>1</v>
      </c>
      <c r="BG102" s="7" t="n">
        <f aca="false">VLOOKUP($D102,Size!$A$2:$Z$14,18,0)</f>
        <v>10.0928271821888</v>
      </c>
      <c r="BH102" s="7" t="n">
        <f aca="false">INT($BF102*$BG102*$BE102*$B102/2)</f>
        <v>31</v>
      </c>
      <c r="BI102" s="7" t="n">
        <f aca="false">INT(($BC102*$BF102)+($I102*$BD102))</f>
        <v>11</v>
      </c>
      <c r="BJ102" s="7" t="n">
        <f aca="false">INT((($I102*$BE102)+$BC102)*$BF102)</f>
        <v>12</v>
      </c>
      <c r="BK102" s="14"/>
      <c r="BL102" s="7" t="n">
        <f aca="false">VLOOKUP($E102,Role!$A$2:$O$9,13,0)</f>
        <v>1.25</v>
      </c>
      <c r="BM102" s="7" t="n">
        <f aca="false">VLOOKUP($E102,Role!$A$2:$O$9,11,0)</f>
        <v>0.666</v>
      </c>
      <c r="BO102" s="7" t="n">
        <f aca="false">VLOOKUP($E102,Role!$A$2:$O$9,8,0)</f>
        <v>0.75</v>
      </c>
      <c r="BP102" s="7" t="n">
        <f aca="false">VLOOKUP($E102,Role!$A$2:$O$9,9,0)</f>
        <v>0.75</v>
      </c>
      <c r="BQ102" s="7" t="n">
        <f aca="false">VLOOKUP($E102,Role!$A$2:$O$9,10,0)</f>
        <v>0.5</v>
      </c>
    </row>
    <row r="103" customFormat="false" ht="12.8" hidden="false" customHeight="false" outlineLevel="0" collapsed="false">
      <c r="B103" s="2" t="n">
        <v>5</v>
      </c>
      <c r="C103" s="3" t="s">
        <v>63</v>
      </c>
      <c r="D103" s="1" t="s">
        <v>64</v>
      </c>
      <c r="E103" s="1" t="s">
        <v>70</v>
      </c>
      <c r="F103" s="1" t="s">
        <v>79</v>
      </c>
      <c r="G103" s="1" t="s">
        <v>80</v>
      </c>
      <c r="H103" s="4" t="n">
        <f aca="false">VLOOKUP($D103,Size!$A$2:$Z$14,6,0)</f>
        <v>1</v>
      </c>
      <c r="I103" s="13" t="n">
        <f aca="false">INT(($B103*$AZ103*$AX103*$BA103)+($B103*$AY103))</f>
        <v>4</v>
      </c>
      <c r="J103" s="4" t="n">
        <f aca="false">ROUND((($B103*$AT103)+($AV103*$AU103))*$AW103,0)</f>
        <v>2</v>
      </c>
      <c r="K103" s="4" t="n">
        <f aca="false">ROUND((($B103*$AP103)+($B103*$AQ103))*$AS103,0)</f>
        <v>2</v>
      </c>
      <c r="L103" s="4" t="n">
        <f aca="false">ROUND((($B103*$AM103)+($B103*$AN103))*$AO103,0)</f>
        <v>2</v>
      </c>
      <c r="M103" s="4" t="n">
        <f aca="false">ROUND((($B103*$AG103)+($B103*$AH103))*$AI103,0)</f>
        <v>1</v>
      </c>
      <c r="N103" s="4" t="n">
        <f aca="false">ROUND((($B103*$AJ103)+($B103*$AK103))*$AL103,0)</f>
        <v>2</v>
      </c>
      <c r="O103" s="4" t="n">
        <f aca="false">INT($BO103*$B103)</f>
        <v>3</v>
      </c>
      <c r="P103" s="4" t="n">
        <f aca="false">INT($BP103*$B103)</f>
        <v>3</v>
      </c>
      <c r="Q103" s="4" t="n">
        <f aca="false">INT($BQ103*$B103*$AR103)</f>
        <v>1</v>
      </c>
      <c r="R103" s="4" t="n">
        <f aca="false">IF($R$1="WT/G",INT(POWER($BH103*$BJ103*$BI103,0.333333)),0)+IF($R$1="WT/A",INT(($BH103+$BJ103+$BI103)/3),0)+IF($R$1="WT/A2",INT(($BJ103+$BI103)/2),0)+IF($R$1="WT/W",INT(($BH103+$BJ103+$BJ103+$BI103)/4),0)+IF($R$1="WT/W2",INT(($BH103+$BJ103+$BI103+$BI103)/4),0)+IF($R$1="WT/N",INT(MIN($BH103,$BJ103,$BI103)),0)+IF($R$1="WT/M",INT(MAX($BH103,$BJ103,$BI103)),0)+IF($R$1="WT/1",INT($BH103),0)+IF($R$1="WT/2",INT($BI103),0)+IF($R$1="WT/3",INT($BJ103),0)</f>
        <v>20</v>
      </c>
      <c r="S103" s="4" t="n">
        <f aca="false">INT((10+$M103)*$BL103)</f>
        <v>13</v>
      </c>
      <c r="T103" s="4" t="n">
        <f aca="false">INT($I103*$BM103*$BF103)</f>
        <v>2</v>
      </c>
      <c r="U103" s="2" t="n">
        <f aca="false">ROUND(MAX($J103,$L103)+(MIN($J103,$L103)*$X103),0)</f>
        <v>4</v>
      </c>
      <c r="V103" s="2" t="n">
        <f aca="false">MAX(1,INT(((MIN($I103:$J103)+(MAX($I103:$J103)*$H103*$Y103)))*$Z103))</f>
        <v>9</v>
      </c>
      <c r="X103" s="5" t="n">
        <f aca="false">VLOOKUP($E103,Role!$A$2:$O$9,14,0)</f>
        <v>1</v>
      </c>
      <c r="Y103" s="5" t="n">
        <f aca="false">VLOOKUP($E103,Role!$A$2:$O$9,15,0)</f>
        <v>1</v>
      </c>
      <c r="Z103" s="5" t="n">
        <f aca="false">VLOOKUP($G103,Movement!$A$2:$C$7,3,0)</f>
        <v>1.5</v>
      </c>
      <c r="AB103" s="5" t="n">
        <f aca="false">INT(5+(($H103-1)/3))</f>
        <v>5</v>
      </c>
      <c r="AC103" s="5" t="n">
        <f aca="false">IF($AB103&lt;$I103,$I103-MAX($AB103,$B103),0)</f>
        <v>0</v>
      </c>
      <c r="AD103" s="5" t="n">
        <f aca="false">(5-ROUND(($H103-1)/3,0))</f>
        <v>5</v>
      </c>
      <c r="AE103" s="5" t="n">
        <f aca="false">IF($AD103&lt;$J103,$J103-MAX($AD103,$B103),0)</f>
        <v>0</v>
      </c>
      <c r="AG103" s="6" t="n">
        <f aca="false">VLOOKUP($F103,Category!$A$2:$AZ$20,24,0)</f>
        <v>0</v>
      </c>
      <c r="AH103" s="6" t="n">
        <f aca="false">VLOOKUP($F103,Category!$A$2:$AZ$20,26,0)</f>
        <v>0.333333333333333</v>
      </c>
      <c r="AI103" s="6" t="n">
        <f aca="false">VLOOKUP($E103,Role!$A$2:$O$9,6,0)</f>
        <v>0.666</v>
      </c>
      <c r="AJ103" s="6" t="n">
        <f aca="false">VLOOKUP($F103,Category!$A$2:$AZ$20,19,0)</f>
        <v>0.0909090909090909</v>
      </c>
      <c r="AK103" s="6" t="n">
        <f aca="false">VLOOKUP($F103,Category!$A$2:$AZ$20,21,0)</f>
        <v>0.545454545454545</v>
      </c>
      <c r="AL103" s="6" t="n">
        <f aca="false">VLOOKUP($E103,Role!$A$2:$O$9,7,0)</f>
        <v>0.666</v>
      </c>
      <c r="AM103" s="6" t="n">
        <f aca="false">VLOOKUP($F103,Category!$A$2:$AZ$20,19,0)</f>
        <v>0.0909090909090909</v>
      </c>
      <c r="AN103" s="6" t="n">
        <f aca="false">VLOOKUP($F103,Category!$A$2:$AZ$20,21,0)</f>
        <v>0.545454545454545</v>
      </c>
      <c r="AO103" s="6" t="n">
        <f aca="false">VLOOKUP($E103,Role!$A$2:$O$9,5,0)</f>
        <v>0.666</v>
      </c>
      <c r="AP103" s="6" t="n">
        <f aca="false">VLOOKUP($F103,Category!$A$2:$AZ$20,9,0)</f>
        <v>0</v>
      </c>
      <c r="AQ103" s="6" t="n">
        <f aca="false">VLOOKUP($F103,Category!$A$2:$AZ$20,11,0)</f>
        <v>0.555555555555556</v>
      </c>
      <c r="AR103" s="6" t="n">
        <f aca="false">VLOOKUP($F103,Category!$A$2:$AZ$20,10,0)</f>
        <v>0.555555555555556</v>
      </c>
      <c r="AS103" s="6" t="n">
        <f aca="false">VLOOKUP($E103,Role!$A$2:$O$9,4,0)</f>
        <v>0.666</v>
      </c>
      <c r="AT103" s="7" t="n">
        <f aca="false">VLOOKUP($F103,Category!$A$2:$AZ$20,14,0)</f>
        <v>0.416666666666667</v>
      </c>
      <c r="AU103" s="7" t="n">
        <f aca="false">VLOOKUP($F103,Category!$A$2:$AZ$20,16,0)</f>
        <v>0.25</v>
      </c>
      <c r="AV103" s="7" t="n">
        <f aca="false">VLOOKUP($D103,Size!$A$2:$Z$14,17,0)</f>
        <v>3</v>
      </c>
      <c r="AW103" s="7" t="n">
        <f aca="false">VLOOKUP($E103,Role!$A$2:$O$9,3,0)</f>
        <v>0.666</v>
      </c>
      <c r="AX103" s="7" t="n">
        <f aca="false">VLOOKUP($F103,Category!$A$2:$AZ$20,29,0)</f>
        <v>0.333333333333333</v>
      </c>
      <c r="AY103" s="7" t="n">
        <f aca="false">VLOOKUP($F103,Category!$A$2:$AZ$20,31,0)</f>
        <v>0.333333333333333</v>
      </c>
      <c r="AZ103" s="7" t="n">
        <f aca="false">VLOOKUP($D103,Size!$A$2:$Z$14,16,0)</f>
        <v>3</v>
      </c>
      <c r="BA103" s="7" t="n">
        <f aca="false">VLOOKUP($E103,Role!$A$2:$O$9,2,0)</f>
        <v>0.666</v>
      </c>
      <c r="BC103" s="7" t="n">
        <f aca="false">VLOOKUP($D103,Size!$A$2:$Z$14,19,0)</f>
        <v>10</v>
      </c>
      <c r="BD103" s="7" t="n">
        <f aca="false">VLOOKUP($D103,Size!$A$2:$Z$14,20,0)</f>
        <v>1</v>
      </c>
      <c r="BE103" s="7" t="n">
        <f aca="false">VLOOKUP($E103,Role!$A$2:$O$9,12,0)</f>
        <v>1.25</v>
      </c>
      <c r="BF103" s="7" t="n">
        <f aca="false">VLOOKUP($C103,Type!$A$2:$B$4,2,0)</f>
        <v>1</v>
      </c>
      <c r="BG103" s="7" t="n">
        <f aca="false">VLOOKUP($D103,Size!$A$2:$Z$14,18,0)</f>
        <v>13</v>
      </c>
      <c r="BH103" s="7" t="n">
        <f aca="false">INT($BF103*$BG103*$BE103*$B103/2)</f>
        <v>40</v>
      </c>
      <c r="BI103" s="7" t="n">
        <f aca="false">INT(($BC103*$BF103)+($I103*$BD103))</f>
        <v>14</v>
      </c>
      <c r="BJ103" s="7" t="n">
        <f aca="false">INT((($I103*$BE103)+$BC103)*$BF103)</f>
        <v>15</v>
      </c>
      <c r="BK103" s="14"/>
      <c r="BL103" s="7" t="n">
        <f aca="false">VLOOKUP($E103,Role!$A$2:$O$9,13,0)</f>
        <v>1.25</v>
      </c>
      <c r="BM103" s="7" t="n">
        <f aca="false">VLOOKUP($E103,Role!$A$2:$O$9,11,0)</f>
        <v>0.666</v>
      </c>
      <c r="BO103" s="7" t="n">
        <f aca="false">VLOOKUP($E103,Role!$A$2:$O$9,8,0)</f>
        <v>0.75</v>
      </c>
      <c r="BP103" s="7" t="n">
        <f aca="false">VLOOKUP($E103,Role!$A$2:$O$9,9,0)</f>
        <v>0.75</v>
      </c>
      <c r="BQ103" s="7" t="n">
        <f aca="false">VLOOKUP($E103,Role!$A$2:$O$9,10,0)</f>
        <v>0.5</v>
      </c>
    </row>
    <row r="104" customFormat="false" ht="12.8" hidden="false" customHeight="false" outlineLevel="0" collapsed="false">
      <c r="B104" s="2" t="n">
        <v>5</v>
      </c>
      <c r="C104" s="3" t="s">
        <v>63</v>
      </c>
      <c r="D104" s="1" t="s">
        <v>84</v>
      </c>
      <c r="E104" s="1" t="s">
        <v>70</v>
      </c>
      <c r="F104" s="1" t="s">
        <v>79</v>
      </c>
      <c r="G104" s="1" t="s">
        <v>80</v>
      </c>
      <c r="H104" s="4" t="n">
        <f aca="false">VLOOKUP($D104,Size!$A$2:$Z$14,6,0)</f>
        <v>2</v>
      </c>
      <c r="I104" s="13" t="n">
        <f aca="false">INT(($B104*$AZ104*$AX104*$BA104)+($B104*$AY104))</f>
        <v>4</v>
      </c>
      <c r="J104" s="4" t="n">
        <f aca="false">ROUND((($B104*$AT104)+($AV104*$AU104))*$AW104,0)</f>
        <v>2</v>
      </c>
      <c r="K104" s="4" t="n">
        <f aca="false">ROUND((($B104*$AP104)+($B104*$AQ104))*$AS104,0)</f>
        <v>2</v>
      </c>
      <c r="L104" s="4" t="n">
        <f aca="false">ROUND((($B104*$AM104)+($B104*$AN104))*$AO104,0)</f>
        <v>2</v>
      </c>
      <c r="M104" s="4" t="n">
        <f aca="false">ROUND((($B104*$AG104)+($B104*$AH104))*$AI104,0)</f>
        <v>1</v>
      </c>
      <c r="N104" s="4" t="n">
        <f aca="false">ROUND((($B104*$AJ104)+($B104*$AK104))*$AL104,0)</f>
        <v>2</v>
      </c>
      <c r="O104" s="4" t="n">
        <f aca="false">INT($BO104*$B104)</f>
        <v>3</v>
      </c>
      <c r="P104" s="4" t="n">
        <f aca="false">INT($BP104*$B104)</f>
        <v>3</v>
      </c>
      <c r="Q104" s="4" t="n">
        <f aca="false">INT($BQ104*$B104*$AR104)</f>
        <v>1</v>
      </c>
      <c r="R104" s="4" t="n">
        <f aca="false">IF($R$1="WT/G",INT(POWER($BH104*$BJ104*$BI104,0.333333)),0)+IF($R$1="WT/A",INT(($BH104+$BJ104+$BI104)/3),0)+IF($R$1="WT/A2",INT(($BJ104+$BI104)/2),0)+IF($R$1="WT/W",INT(($BH104+$BJ104+$BJ104+$BI104)/4),0)+IF($R$1="WT/W2",INT(($BH104+$BJ104+$BI104+$BI104)/4),0)+IF($R$1="WT/N",INT(MIN($BH104,$BJ104,$BI104)),0)+IF($R$1="WT/M",INT(MAX($BH104,$BJ104,$BI104)),0)+IF($R$1="WT/1",INT($BH104),0)+IF($R$1="WT/2",INT($BI104),0)+IF($R$1="WT/3",INT($BJ104),0)</f>
        <v>25</v>
      </c>
      <c r="S104" s="4" t="n">
        <f aca="false">INT((10+$M104)*$BL104)</f>
        <v>13</v>
      </c>
      <c r="T104" s="4" t="n">
        <f aca="false">INT($I104*$BM104*$BF104)</f>
        <v>2</v>
      </c>
      <c r="U104" s="2" t="n">
        <f aca="false">ROUND(MAX($J104,$L104)+(MIN($J104,$L104)*$X104),0)</f>
        <v>4</v>
      </c>
      <c r="V104" s="2" t="n">
        <f aca="false">MAX(1,INT(((MIN($I104:$J104)+(MAX($I104:$J104)*$H104*$Y104)))*$Z104))</f>
        <v>15</v>
      </c>
      <c r="X104" s="5" t="n">
        <f aca="false">VLOOKUP($E104,Role!$A$2:$O$9,14,0)</f>
        <v>1</v>
      </c>
      <c r="Y104" s="5" t="n">
        <f aca="false">VLOOKUP($E104,Role!$A$2:$O$9,15,0)</f>
        <v>1</v>
      </c>
      <c r="Z104" s="5" t="n">
        <f aca="false">VLOOKUP($G104,Movement!$A$2:$C$7,3,0)</f>
        <v>1.5</v>
      </c>
      <c r="AB104" s="5" t="n">
        <f aca="false">INT(5+(($H104-1)/3))</f>
        <v>5</v>
      </c>
      <c r="AC104" s="5" t="n">
        <f aca="false">IF($AB104&lt;$I104,$I104-MAX($AB104,$B104),0)</f>
        <v>0</v>
      </c>
      <c r="AD104" s="5" t="n">
        <f aca="false">(5-ROUND(($H104-1)/3,0))</f>
        <v>5</v>
      </c>
      <c r="AE104" s="5" t="n">
        <f aca="false">IF($AD104&lt;$J104,$J104-MAX($AD104,$B104),0)</f>
        <v>0</v>
      </c>
      <c r="AG104" s="6" t="n">
        <f aca="false">VLOOKUP($F104,Category!$A$2:$AZ$20,24,0)</f>
        <v>0</v>
      </c>
      <c r="AH104" s="6" t="n">
        <f aca="false">VLOOKUP($F104,Category!$A$2:$AZ$20,26,0)</f>
        <v>0.333333333333333</v>
      </c>
      <c r="AI104" s="6" t="n">
        <f aca="false">VLOOKUP($E104,Role!$A$2:$O$9,6,0)</f>
        <v>0.666</v>
      </c>
      <c r="AJ104" s="6" t="n">
        <f aca="false">VLOOKUP($F104,Category!$A$2:$AZ$20,19,0)</f>
        <v>0.0909090909090909</v>
      </c>
      <c r="AK104" s="6" t="n">
        <f aca="false">VLOOKUP($F104,Category!$A$2:$AZ$20,21,0)</f>
        <v>0.545454545454545</v>
      </c>
      <c r="AL104" s="6" t="n">
        <f aca="false">VLOOKUP($E104,Role!$A$2:$O$9,7,0)</f>
        <v>0.666</v>
      </c>
      <c r="AM104" s="6" t="n">
        <f aca="false">VLOOKUP($F104,Category!$A$2:$AZ$20,19,0)</f>
        <v>0.0909090909090909</v>
      </c>
      <c r="AN104" s="6" t="n">
        <f aca="false">VLOOKUP($F104,Category!$A$2:$AZ$20,21,0)</f>
        <v>0.545454545454545</v>
      </c>
      <c r="AO104" s="6" t="n">
        <f aca="false">VLOOKUP($E104,Role!$A$2:$O$9,5,0)</f>
        <v>0.666</v>
      </c>
      <c r="AP104" s="6" t="n">
        <f aca="false">VLOOKUP($F104,Category!$A$2:$AZ$20,9,0)</f>
        <v>0</v>
      </c>
      <c r="AQ104" s="6" t="n">
        <f aca="false">VLOOKUP($F104,Category!$A$2:$AZ$20,11,0)</f>
        <v>0.555555555555556</v>
      </c>
      <c r="AR104" s="6" t="n">
        <f aca="false">VLOOKUP($F104,Category!$A$2:$AZ$20,10,0)</f>
        <v>0.555555555555556</v>
      </c>
      <c r="AS104" s="6" t="n">
        <f aca="false">VLOOKUP($E104,Role!$A$2:$O$9,4,0)</f>
        <v>0.666</v>
      </c>
      <c r="AT104" s="7" t="n">
        <f aca="false">VLOOKUP($F104,Category!$A$2:$AZ$20,14,0)</f>
        <v>0.416666666666667</v>
      </c>
      <c r="AU104" s="7" t="n">
        <f aca="false">VLOOKUP($F104,Category!$A$2:$AZ$20,16,0)</f>
        <v>0.25</v>
      </c>
      <c r="AV104" s="7" t="n">
        <f aca="false">VLOOKUP($D104,Size!$A$2:$Z$14,17,0)</f>
        <v>3</v>
      </c>
      <c r="AW104" s="7" t="n">
        <f aca="false">VLOOKUP($E104,Role!$A$2:$O$9,3,0)</f>
        <v>0.666</v>
      </c>
      <c r="AX104" s="7" t="n">
        <f aca="false">VLOOKUP($F104,Category!$A$2:$AZ$20,29,0)</f>
        <v>0.333333333333333</v>
      </c>
      <c r="AY104" s="7" t="n">
        <f aca="false">VLOOKUP($F104,Category!$A$2:$AZ$20,31,0)</f>
        <v>0.333333333333333</v>
      </c>
      <c r="AZ104" s="7" t="n">
        <f aca="false">VLOOKUP($D104,Size!$A$2:$Z$14,16,0)</f>
        <v>3</v>
      </c>
      <c r="BA104" s="7" t="n">
        <f aca="false">VLOOKUP($E104,Role!$A$2:$O$9,2,0)</f>
        <v>0.666</v>
      </c>
      <c r="BC104" s="7" t="n">
        <f aca="false">VLOOKUP($D104,Size!$A$2:$Z$14,19,0)</f>
        <v>12</v>
      </c>
      <c r="BD104" s="7" t="n">
        <f aca="false">VLOOKUP($D104,Size!$A$2:$Z$14,20,0)</f>
        <v>1.5</v>
      </c>
      <c r="BE104" s="7" t="n">
        <f aca="false">VLOOKUP($E104,Role!$A$2:$O$9,12,0)</f>
        <v>1.25</v>
      </c>
      <c r="BF104" s="7" t="n">
        <f aca="false">VLOOKUP($C104,Type!$A$2:$B$4,2,0)</f>
        <v>1</v>
      </c>
      <c r="BG104" s="7" t="n">
        <f aca="false">VLOOKUP($D104,Size!$A$2:$Z$14,18,0)</f>
        <v>16.2236679323423</v>
      </c>
      <c r="BH104" s="7" t="n">
        <f aca="false">INT($BF104*$BG104*$BE104*$B104/2)</f>
        <v>50</v>
      </c>
      <c r="BI104" s="7" t="n">
        <f aca="false">INT(($BC104*$BF104)+($I104*$BD104))</f>
        <v>18</v>
      </c>
      <c r="BJ104" s="7" t="n">
        <f aca="false">INT((($I104*$BE104)+$BC104)*$BF104)</f>
        <v>17</v>
      </c>
      <c r="BK104" s="14"/>
      <c r="BL104" s="7" t="n">
        <f aca="false">VLOOKUP($E104,Role!$A$2:$O$9,13,0)</f>
        <v>1.25</v>
      </c>
      <c r="BM104" s="7" t="n">
        <f aca="false">VLOOKUP($E104,Role!$A$2:$O$9,11,0)</f>
        <v>0.666</v>
      </c>
      <c r="BO104" s="7" t="n">
        <f aca="false">VLOOKUP($E104,Role!$A$2:$O$9,8,0)</f>
        <v>0.75</v>
      </c>
      <c r="BP104" s="7" t="n">
        <f aca="false">VLOOKUP($E104,Role!$A$2:$O$9,9,0)</f>
        <v>0.75</v>
      </c>
      <c r="BQ104" s="7" t="n">
        <f aca="false">VLOOKUP($E104,Role!$A$2:$O$9,10,0)</f>
        <v>0.5</v>
      </c>
    </row>
    <row r="105" customFormat="false" ht="12.8" hidden="false" customHeight="false" outlineLevel="0" collapsed="false">
      <c r="B105" s="2" t="n">
        <v>5</v>
      </c>
      <c r="C105" s="3" t="s">
        <v>63</v>
      </c>
      <c r="D105" s="1" t="s">
        <v>85</v>
      </c>
      <c r="E105" s="1" t="s">
        <v>70</v>
      </c>
      <c r="F105" s="1" t="s">
        <v>79</v>
      </c>
      <c r="G105" s="1" t="s">
        <v>80</v>
      </c>
      <c r="H105" s="4" t="n">
        <f aca="false">VLOOKUP($D105,Size!$A$2:$Z$14,6,0)</f>
        <v>3</v>
      </c>
      <c r="I105" s="13" t="n">
        <f aca="false">INT(($B105*$AZ105*$AX105*$BA105)+($B105*$AY105))</f>
        <v>6</v>
      </c>
      <c r="J105" s="4" t="n">
        <f aca="false">ROUND((($B105*$AT105)+($AV105*$AU105))*$AW105,0)</f>
        <v>2</v>
      </c>
      <c r="K105" s="4" t="n">
        <f aca="false">ROUND((($B105*$AP105)+($B105*$AQ105))*$AS105,0)</f>
        <v>2</v>
      </c>
      <c r="L105" s="4" t="n">
        <f aca="false">ROUND((($B105*$AM105)+($B105*$AN105))*$AO105,0)</f>
        <v>2</v>
      </c>
      <c r="M105" s="4" t="n">
        <f aca="false">ROUND((($B105*$AG105)+($B105*$AH105))*$AI105,0)</f>
        <v>1</v>
      </c>
      <c r="N105" s="4" t="n">
        <f aca="false">ROUND((($B105*$AJ105)+($B105*$AK105))*$AL105,0)</f>
        <v>2</v>
      </c>
      <c r="O105" s="4" t="n">
        <f aca="false">INT($BO105*$B105)</f>
        <v>3</v>
      </c>
      <c r="P105" s="4" t="n">
        <f aca="false">INT($BP105*$B105)</f>
        <v>3</v>
      </c>
      <c r="Q105" s="4" t="n">
        <f aca="false">INT($BQ105*$B105*$AR105)</f>
        <v>1</v>
      </c>
      <c r="R105" s="4" t="n">
        <f aca="false">IF($R$1="WT/G",INT(POWER($BH105*$BJ105*$BI105,0.333333)),0)+IF($R$1="WT/A",INT(($BH105+$BJ105+$BI105)/3),0)+IF($R$1="WT/A2",INT(($BJ105+$BI105)/2),0)+IF($R$1="WT/W",INT(($BH105+$BJ105+$BJ105+$BI105)/4),0)+IF($R$1="WT/W2",INT(($BH105+$BJ105+$BI105+$BI105)/4),0)+IF($R$1="WT/N",INT(MIN($BH105,$BJ105,$BI105)),0)+IF($R$1="WT/M",INT(MAX($BH105,$BJ105,$BI105)),0)+IF($R$1="WT/1",INT($BH105),0)+IF($R$1="WT/2",INT($BI105),0)+IF($R$1="WT/3",INT($BJ105),0)</f>
        <v>35</v>
      </c>
      <c r="S105" s="4" t="n">
        <f aca="false">INT((10+$M105)*$BL105)</f>
        <v>13</v>
      </c>
      <c r="T105" s="4" t="n">
        <f aca="false">INT($I105*$BM105*$BF105)</f>
        <v>3</v>
      </c>
      <c r="U105" s="2" t="n">
        <f aca="false">ROUND(MAX($J105,$L105)+(MIN($J105,$L105)*$X105),0)</f>
        <v>4</v>
      </c>
      <c r="V105" s="2" t="n">
        <f aca="false">MAX(1,INT(((MIN($I105:$J105)+(MAX($I105:$J105)*$H105*$Y105)))*$Z105))</f>
        <v>30</v>
      </c>
      <c r="X105" s="5" t="n">
        <f aca="false">VLOOKUP($E105,Role!$A$2:$O$9,14,0)</f>
        <v>1</v>
      </c>
      <c r="Y105" s="5" t="n">
        <f aca="false">VLOOKUP($E105,Role!$A$2:$O$9,15,0)</f>
        <v>1</v>
      </c>
      <c r="Z105" s="5" t="n">
        <f aca="false">VLOOKUP($G105,Movement!$A$2:$C$7,3,0)</f>
        <v>1.5</v>
      </c>
      <c r="AB105" s="5" t="n">
        <f aca="false">INT(5+(($H105-1)/3))</f>
        <v>5</v>
      </c>
      <c r="AC105" s="5" t="n">
        <f aca="false">IF($AB105&lt;$I105,$I105-MAX($AB105,$B105),0)</f>
        <v>1</v>
      </c>
      <c r="AD105" s="5" t="n">
        <f aca="false">(5-ROUND(($H105-1)/3,0))</f>
        <v>4</v>
      </c>
      <c r="AE105" s="5" t="n">
        <f aca="false">IF($AD105&lt;$J105,$J105-MAX($AD105,$B105),0)</f>
        <v>0</v>
      </c>
      <c r="AG105" s="6" t="n">
        <f aca="false">VLOOKUP($F105,Category!$A$2:$AZ$20,24,0)</f>
        <v>0</v>
      </c>
      <c r="AH105" s="6" t="n">
        <f aca="false">VLOOKUP($F105,Category!$A$2:$AZ$20,26,0)</f>
        <v>0.333333333333333</v>
      </c>
      <c r="AI105" s="6" t="n">
        <f aca="false">VLOOKUP($E105,Role!$A$2:$O$9,6,0)</f>
        <v>0.666</v>
      </c>
      <c r="AJ105" s="6" t="n">
        <f aca="false">VLOOKUP($F105,Category!$A$2:$AZ$20,19,0)</f>
        <v>0.0909090909090909</v>
      </c>
      <c r="AK105" s="6" t="n">
        <f aca="false">VLOOKUP($F105,Category!$A$2:$AZ$20,21,0)</f>
        <v>0.545454545454545</v>
      </c>
      <c r="AL105" s="6" t="n">
        <f aca="false">VLOOKUP($E105,Role!$A$2:$O$9,7,0)</f>
        <v>0.666</v>
      </c>
      <c r="AM105" s="6" t="n">
        <f aca="false">VLOOKUP($F105,Category!$A$2:$AZ$20,19,0)</f>
        <v>0.0909090909090909</v>
      </c>
      <c r="AN105" s="6" t="n">
        <f aca="false">VLOOKUP($F105,Category!$A$2:$AZ$20,21,0)</f>
        <v>0.545454545454545</v>
      </c>
      <c r="AO105" s="6" t="n">
        <f aca="false">VLOOKUP($E105,Role!$A$2:$O$9,5,0)</f>
        <v>0.666</v>
      </c>
      <c r="AP105" s="6" t="n">
        <f aca="false">VLOOKUP($F105,Category!$A$2:$AZ$20,9,0)</f>
        <v>0</v>
      </c>
      <c r="AQ105" s="6" t="n">
        <f aca="false">VLOOKUP($F105,Category!$A$2:$AZ$20,11,0)</f>
        <v>0.555555555555556</v>
      </c>
      <c r="AR105" s="6" t="n">
        <f aca="false">VLOOKUP($F105,Category!$A$2:$AZ$20,10,0)</f>
        <v>0.555555555555556</v>
      </c>
      <c r="AS105" s="6" t="n">
        <f aca="false">VLOOKUP($E105,Role!$A$2:$O$9,4,0)</f>
        <v>0.666</v>
      </c>
      <c r="AT105" s="7" t="n">
        <f aca="false">VLOOKUP($F105,Category!$A$2:$AZ$20,14,0)</f>
        <v>0.416666666666667</v>
      </c>
      <c r="AU105" s="7" t="n">
        <f aca="false">VLOOKUP($F105,Category!$A$2:$AZ$20,16,0)</f>
        <v>0.25</v>
      </c>
      <c r="AV105" s="7" t="n">
        <f aca="false">VLOOKUP($D105,Size!$A$2:$Z$14,17,0)</f>
        <v>2</v>
      </c>
      <c r="AW105" s="7" t="n">
        <f aca="false">VLOOKUP($E105,Role!$A$2:$O$9,3,0)</f>
        <v>0.666</v>
      </c>
      <c r="AX105" s="7" t="n">
        <f aca="false">VLOOKUP($F105,Category!$A$2:$AZ$20,29,0)</f>
        <v>0.333333333333333</v>
      </c>
      <c r="AY105" s="7" t="n">
        <f aca="false">VLOOKUP($F105,Category!$A$2:$AZ$20,31,0)</f>
        <v>0.333333333333333</v>
      </c>
      <c r="AZ105" s="7" t="n">
        <f aca="false">VLOOKUP($D105,Size!$A$2:$Z$14,16,0)</f>
        <v>4</v>
      </c>
      <c r="BA105" s="7" t="n">
        <f aca="false">VLOOKUP($E105,Role!$A$2:$O$9,2,0)</f>
        <v>0.666</v>
      </c>
      <c r="BC105" s="7" t="n">
        <f aca="false">VLOOKUP($D105,Size!$A$2:$Z$14,19,0)</f>
        <v>14</v>
      </c>
      <c r="BD105" s="7" t="n">
        <f aca="false">VLOOKUP($D105,Size!$A$2:$Z$14,20,0)</f>
        <v>2</v>
      </c>
      <c r="BE105" s="7" t="n">
        <f aca="false">VLOOKUP($E105,Role!$A$2:$O$9,12,0)</f>
        <v>1.25</v>
      </c>
      <c r="BF105" s="7" t="n">
        <f aca="false">VLOOKUP($C105,Type!$A$2:$B$4,2,0)</f>
        <v>1</v>
      </c>
      <c r="BG105" s="7" t="n">
        <f aca="false">VLOOKUP($D105,Size!$A$2:$Z$14,18,0)</f>
        <v>21.7830216372384</v>
      </c>
      <c r="BH105" s="7" t="n">
        <f aca="false">INT($BF105*$BG105*$BE105*$B105/2)</f>
        <v>68</v>
      </c>
      <c r="BI105" s="7" t="n">
        <f aca="false">INT(($BC105*$BF105)+($I105*$BD105))</f>
        <v>26</v>
      </c>
      <c r="BJ105" s="7" t="n">
        <f aca="false">INT((($I105*$BE105)+$BC105)*$BF105)</f>
        <v>21</v>
      </c>
      <c r="BK105" s="14"/>
      <c r="BL105" s="7" t="n">
        <f aca="false">VLOOKUP($E105,Role!$A$2:$O$9,13,0)</f>
        <v>1.25</v>
      </c>
      <c r="BM105" s="7" t="n">
        <f aca="false">VLOOKUP($E105,Role!$A$2:$O$9,11,0)</f>
        <v>0.666</v>
      </c>
      <c r="BO105" s="7" t="n">
        <f aca="false">VLOOKUP($E105,Role!$A$2:$O$9,8,0)</f>
        <v>0.75</v>
      </c>
      <c r="BP105" s="7" t="n">
        <f aca="false">VLOOKUP($E105,Role!$A$2:$O$9,9,0)</f>
        <v>0.75</v>
      </c>
      <c r="BQ105" s="7" t="n">
        <f aca="false">VLOOKUP($E105,Role!$A$2:$O$9,10,0)</f>
        <v>0.5</v>
      </c>
    </row>
    <row r="106" customFormat="false" ht="12.8" hidden="false" customHeight="false" outlineLevel="0" collapsed="false">
      <c r="B106" s="2" t="n">
        <v>5</v>
      </c>
      <c r="C106" s="3" t="s">
        <v>63</v>
      </c>
      <c r="D106" s="1" t="s">
        <v>86</v>
      </c>
      <c r="E106" s="1" t="s">
        <v>70</v>
      </c>
      <c r="F106" s="1" t="s">
        <v>79</v>
      </c>
      <c r="G106" s="1" t="s">
        <v>80</v>
      </c>
      <c r="H106" s="4" t="n">
        <f aca="false">VLOOKUP($D106,Size!$A$2:$Z$14,6,0)</f>
        <v>4</v>
      </c>
      <c r="I106" s="13" t="n">
        <f aca="false">INT(($B106*$AZ106*$AX106*$BA106)+($B106*$AY106))</f>
        <v>6</v>
      </c>
      <c r="J106" s="4" t="n">
        <f aca="false">ROUND((($B106*$AT106)+($AV106*$AU106))*$AW106,0)</f>
        <v>2</v>
      </c>
      <c r="K106" s="4" t="n">
        <f aca="false">ROUND((($B106*$AP106)+($B106*$AQ106))*$AS106,0)</f>
        <v>2</v>
      </c>
      <c r="L106" s="4" t="n">
        <f aca="false">ROUND((($B106*$AM106)+($B106*$AN106))*$AO106,0)</f>
        <v>2</v>
      </c>
      <c r="M106" s="4" t="n">
        <f aca="false">ROUND((($B106*$AG106)+($B106*$AH106))*$AI106,0)</f>
        <v>1</v>
      </c>
      <c r="N106" s="4" t="n">
        <f aca="false">ROUND((($B106*$AJ106)+($B106*$AK106))*$AL106,0)</f>
        <v>2</v>
      </c>
      <c r="O106" s="4" t="n">
        <f aca="false">INT($BO106*$B106)</f>
        <v>3</v>
      </c>
      <c r="P106" s="4" t="n">
        <f aca="false">INT($BP106*$B106)</f>
        <v>3</v>
      </c>
      <c r="Q106" s="4" t="n">
        <f aca="false">INT($BQ106*$B106*$AR106)</f>
        <v>1</v>
      </c>
      <c r="R106" s="4" t="n">
        <f aca="false">IF($R$1="WT/G",INT(POWER($BH106*$BJ106*$BI106,0.333333)),0)+IF($R$1="WT/A",INT(($BH106+$BJ106+$BI106)/3),0)+IF($R$1="WT/A2",INT(($BJ106+$BI106)/2),0)+IF($R$1="WT/W",INT(($BH106+$BJ106+$BJ106+$BI106)/4),0)+IF($R$1="WT/W2",INT(($BH106+$BJ106+$BI106+$BI106)/4),0)+IF($R$1="WT/N",INT(MIN($BH106,$BJ106,$BI106)),0)+IF($R$1="WT/M",INT(MAX($BH106,$BJ106,$BI106)),0)+IF($R$1="WT/1",INT($BH106),0)+IF($R$1="WT/2",INT($BI106),0)+IF($R$1="WT/3",INT($BJ106),0)</f>
        <v>42</v>
      </c>
      <c r="S106" s="4" t="n">
        <f aca="false">INT((10+$M106)*$BL106)</f>
        <v>13</v>
      </c>
      <c r="T106" s="4" t="n">
        <f aca="false">INT($I106*$BM106*$BF106)</f>
        <v>3</v>
      </c>
      <c r="U106" s="2" t="n">
        <f aca="false">ROUND(MAX($J106,$L106)+(MIN($J106,$L106)*$X106),0)</f>
        <v>4</v>
      </c>
      <c r="V106" s="2" t="n">
        <f aca="false">MAX(1,INT(((MIN($I106:$J106)+(MAX($I106:$J106)*$H106*$Y106)))*$Z106))</f>
        <v>39</v>
      </c>
      <c r="X106" s="5" t="n">
        <f aca="false">VLOOKUP($E106,Role!$A$2:$O$9,14,0)</f>
        <v>1</v>
      </c>
      <c r="Y106" s="5" t="n">
        <f aca="false">VLOOKUP($E106,Role!$A$2:$O$9,15,0)</f>
        <v>1</v>
      </c>
      <c r="Z106" s="5" t="n">
        <f aca="false">VLOOKUP($G106,Movement!$A$2:$C$7,3,0)</f>
        <v>1.5</v>
      </c>
      <c r="AB106" s="5" t="n">
        <f aca="false">INT(5+(($H106-1)/3))</f>
        <v>6</v>
      </c>
      <c r="AC106" s="5" t="n">
        <f aca="false">IF($AB106&lt;$I106,$I106-MAX($AB106,$B106),0)</f>
        <v>0</v>
      </c>
      <c r="AD106" s="5" t="n">
        <f aca="false">(5-ROUND(($H106-1)/3,0))</f>
        <v>4</v>
      </c>
      <c r="AE106" s="5" t="n">
        <f aca="false">IF($AD106&lt;$J106,$J106-MAX($AD106,$B106),0)</f>
        <v>0</v>
      </c>
      <c r="AG106" s="6" t="n">
        <f aca="false">VLOOKUP($F106,Category!$A$2:$AZ$20,24,0)</f>
        <v>0</v>
      </c>
      <c r="AH106" s="6" t="n">
        <f aca="false">VLOOKUP($F106,Category!$A$2:$AZ$20,26,0)</f>
        <v>0.333333333333333</v>
      </c>
      <c r="AI106" s="6" t="n">
        <f aca="false">VLOOKUP($E106,Role!$A$2:$O$9,6,0)</f>
        <v>0.666</v>
      </c>
      <c r="AJ106" s="6" t="n">
        <f aca="false">VLOOKUP($F106,Category!$A$2:$AZ$20,19,0)</f>
        <v>0.0909090909090909</v>
      </c>
      <c r="AK106" s="6" t="n">
        <f aca="false">VLOOKUP($F106,Category!$A$2:$AZ$20,21,0)</f>
        <v>0.545454545454545</v>
      </c>
      <c r="AL106" s="6" t="n">
        <f aca="false">VLOOKUP($E106,Role!$A$2:$O$9,7,0)</f>
        <v>0.666</v>
      </c>
      <c r="AM106" s="6" t="n">
        <f aca="false">VLOOKUP($F106,Category!$A$2:$AZ$20,19,0)</f>
        <v>0.0909090909090909</v>
      </c>
      <c r="AN106" s="6" t="n">
        <f aca="false">VLOOKUP($F106,Category!$A$2:$AZ$20,21,0)</f>
        <v>0.545454545454545</v>
      </c>
      <c r="AO106" s="6" t="n">
        <f aca="false">VLOOKUP($E106,Role!$A$2:$O$9,5,0)</f>
        <v>0.666</v>
      </c>
      <c r="AP106" s="6" t="n">
        <f aca="false">VLOOKUP($F106,Category!$A$2:$AZ$20,9,0)</f>
        <v>0</v>
      </c>
      <c r="AQ106" s="6" t="n">
        <f aca="false">VLOOKUP($F106,Category!$A$2:$AZ$20,11,0)</f>
        <v>0.555555555555556</v>
      </c>
      <c r="AR106" s="6" t="n">
        <f aca="false">VLOOKUP($F106,Category!$A$2:$AZ$20,10,0)</f>
        <v>0.555555555555556</v>
      </c>
      <c r="AS106" s="6" t="n">
        <f aca="false">VLOOKUP($E106,Role!$A$2:$O$9,4,0)</f>
        <v>0.666</v>
      </c>
      <c r="AT106" s="7" t="n">
        <f aca="false">VLOOKUP($F106,Category!$A$2:$AZ$20,14,0)</f>
        <v>0.416666666666667</v>
      </c>
      <c r="AU106" s="7" t="n">
        <f aca="false">VLOOKUP($F106,Category!$A$2:$AZ$20,16,0)</f>
        <v>0.25</v>
      </c>
      <c r="AV106" s="7" t="n">
        <f aca="false">VLOOKUP($D106,Size!$A$2:$Z$14,17,0)</f>
        <v>2</v>
      </c>
      <c r="AW106" s="7" t="n">
        <f aca="false">VLOOKUP($E106,Role!$A$2:$O$9,3,0)</f>
        <v>0.666</v>
      </c>
      <c r="AX106" s="7" t="n">
        <f aca="false">VLOOKUP($F106,Category!$A$2:$AZ$20,29,0)</f>
        <v>0.333333333333333</v>
      </c>
      <c r="AY106" s="7" t="n">
        <f aca="false">VLOOKUP($F106,Category!$A$2:$AZ$20,31,0)</f>
        <v>0.333333333333333</v>
      </c>
      <c r="AZ106" s="7" t="n">
        <f aca="false">VLOOKUP($D106,Size!$A$2:$Z$14,16,0)</f>
        <v>4</v>
      </c>
      <c r="BA106" s="7" t="n">
        <f aca="false">VLOOKUP($E106,Role!$A$2:$O$9,2,0)</f>
        <v>0.666</v>
      </c>
      <c r="BC106" s="7" t="n">
        <f aca="false">VLOOKUP($D106,Size!$A$2:$Z$14,19,0)</f>
        <v>16</v>
      </c>
      <c r="BD106" s="7" t="n">
        <f aca="false">VLOOKUP($D106,Size!$A$2:$Z$14,20,0)</f>
        <v>3</v>
      </c>
      <c r="BE106" s="7" t="n">
        <f aca="false">VLOOKUP($E106,Role!$A$2:$O$9,12,0)</f>
        <v>1.25</v>
      </c>
      <c r="BF106" s="7" t="n">
        <f aca="false">VLOOKUP($C106,Type!$A$2:$B$4,2,0)</f>
        <v>1</v>
      </c>
      <c r="BG106" s="7" t="n">
        <f aca="false">VLOOKUP($D106,Size!$A$2:$Z$14,18,0)</f>
        <v>25.3004131186338</v>
      </c>
      <c r="BH106" s="7" t="n">
        <f aca="false">INT($BF106*$BG106*$BE106*$B106/2)</f>
        <v>79</v>
      </c>
      <c r="BI106" s="7" t="n">
        <f aca="false">INT(($BC106*$BF106)+($I106*$BD106))</f>
        <v>34</v>
      </c>
      <c r="BJ106" s="7" t="n">
        <f aca="false">INT((($I106*$BE106)+$BC106)*$BF106)</f>
        <v>23</v>
      </c>
      <c r="BK106" s="14"/>
      <c r="BL106" s="7" t="n">
        <f aca="false">VLOOKUP($E106,Role!$A$2:$O$9,13,0)</f>
        <v>1.25</v>
      </c>
      <c r="BM106" s="7" t="n">
        <f aca="false">VLOOKUP($E106,Role!$A$2:$O$9,11,0)</f>
        <v>0.666</v>
      </c>
      <c r="BO106" s="7" t="n">
        <f aca="false">VLOOKUP($E106,Role!$A$2:$O$9,8,0)</f>
        <v>0.75</v>
      </c>
      <c r="BP106" s="7" t="n">
        <f aca="false">VLOOKUP($E106,Role!$A$2:$O$9,9,0)</f>
        <v>0.75</v>
      </c>
      <c r="BQ106" s="7" t="n">
        <f aca="false">VLOOKUP($E106,Role!$A$2:$O$9,10,0)</f>
        <v>0.5</v>
      </c>
    </row>
    <row r="107" customFormat="false" ht="12.8" hidden="false" customHeight="false" outlineLevel="0" collapsed="false">
      <c r="B107" s="2" t="n">
        <v>5</v>
      </c>
      <c r="C107" s="3" t="s">
        <v>63</v>
      </c>
      <c r="D107" s="1" t="s">
        <v>87</v>
      </c>
      <c r="E107" s="1" t="s">
        <v>70</v>
      </c>
      <c r="F107" s="1" t="s">
        <v>79</v>
      </c>
      <c r="G107" s="1" t="s">
        <v>80</v>
      </c>
      <c r="H107" s="4" t="n">
        <f aca="false">VLOOKUP($D107,Size!$A$2:$Z$14,6,0)</f>
        <v>5</v>
      </c>
      <c r="I107" s="13" t="n">
        <f aca="false">INT(($B107*$AZ107*$AX107*$BA107)+($B107*$AY107))</f>
        <v>7</v>
      </c>
      <c r="J107" s="4" t="n">
        <f aca="false">ROUND((($B107*$AT107)+($AV107*$AU107))*$AW107,0)</f>
        <v>2</v>
      </c>
      <c r="K107" s="4" t="n">
        <f aca="false">ROUND((($B107*$AP107)+($B107*$AQ107))*$AS107,0)</f>
        <v>2</v>
      </c>
      <c r="L107" s="4" t="n">
        <f aca="false">ROUND((($B107*$AM107)+($B107*$AN107))*$AO107,0)</f>
        <v>2</v>
      </c>
      <c r="M107" s="4" t="n">
        <f aca="false">ROUND((($B107*$AG107)+($B107*$AH107))*$AI107,0)</f>
        <v>1</v>
      </c>
      <c r="N107" s="4" t="n">
        <f aca="false">ROUND((($B107*$AJ107)+($B107*$AK107))*$AL107,0)</f>
        <v>2</v>
      </c>
      <c r="O107" s="4" t="n">
        <f aca="false">INT($BO107*$B107)</f>
        <v>3</v>
      </c>
      <c r="P107" s="4" t="n">
        <f aca="false">INT($BP107*$B107)</f>
        <v>3</v>
      </c>
      <c r="Q107" s="4" t="n">
        <f aca="false">INT($BQ107*$B107*$AR107)</f>
        <v>1</v>
      </c>
      <c r="R107" s="4" t="n">
        <f aca="false">IF($R$1="WT/G",INT(POWER($BH107*$BJ107*$BI107,0.333333)),0)+IF($R$1="WT/A",INT(($BH107+$BJ107+$BI107)/3),0)+IF($R$1="WT/A2",INT(($BJ107+$BI107)/2),0)+IF($R$1="WT/W",INT(($BH107+$BJ107+$BJ107+$BI107)/4),0)+IF($R$1="WT/W2",INT(($BH107+$BJ107+$BI107+$BI107)/4),0)+IF($R$1="WT/N",INT(MIN($BH107,$BJ107,$BI107)),0)+IF($R$1="WT/M",INT(MAX($BH107,$BJ107,$BI107)),0)+IF($R$1="WT/1",INT($BH107),0)+IF($R$1="WT/2",INT($BI107),0)+IF($R$1="WT/3",INT($BJ107),0)</f>
        <v>53</v>
      </c>
      <c r="S107" s="4" t="n">
        <f aca="false">INT((10+$M107)*$BL107)</f>
        <v>13</v>
      </c>
      <c r="T107" s="4" t="n">
        <f aca="false">INT($I107*$BM107*$BF107)</f>
        <v>4</v>
      </c>
      <c r="U107" s="2" t="n">
        <f aca="false">ROUND(MAX($J107,$L107)+(MIN($J107,$L107)*$X107),0)</f>
        <v>4</v>
      </c>
      <c r="V107" s="2" t="n">
        <f aca="false">MAX(1,INT(((MIN($I107:$J107)+(MAX($I107:$J107)*$H107*$Y107)))*$Z107))</f>
        <v>55</v>
      </c>
      <c r="X107" s="5" t="n">
        <f aca="false">VLOOKUP($E107,Role!$A$2:$O$9,14,0)</f>
        <v>1</v>
      </c>
      <c r="Y107" s="5" t="n">
        <f aca="false">VLOOKUP($E107,Role!$A$2:$O$9,15,0)</f>
        <v>1</v>
      </c>
      <c r="Z107" s="5" t="n">
        <f aca="false">VLOOKUP($G107,Movement!$A$2:$C$7,3,0)</f>
        <v>1.5</v>
      </c>
      <c r="AB107" s="5" t="n">
        <f aca="false">INT(5+(($H107-1)/3))</f>
        <v>6</v>
      </c>
      <c r="AC107" s="5" t="n">
        <f aca="false">IF($AB107&lt;$I107,$I107-MAX($AB107,$B107),0)</f>
        <v>1</v>
      </c>
      <c r="AD107" s="5" t="n">
        <f aca="false">(5-ROUND(($H107-1)/3,0))</f>
        <v>4</v>
      </c>
      <c r="AE107" s="5" t="n">
        <f aca="false">IF($AD107&lt;$J107,$J107-MAX($AD107,$B107),0)</f>
        <v>0</v>
      </c>
      <c r="AG107" s="6" t="n">
        <f aca="false">VLOOKUP($F107,Category!$A$2:$AZ$20,24,0)</f>
        <v>0</v>
      </c>
      <c r="AH107" s="6" t="n">
        <f aca="false">VLOOKUP($F107,Category!$A$2:$AZ$20,26,0)</f>
        <v>0.333333333333333</v>
      </c>
      <c r="AI107" s="6" t="n">
        <f aca="false">VLOOKUP($E107,Role!$A$2:$O$9,6,0)</f>
        <v>0.666</v>
      </c>
      <c r="AJ107" s="6" t="n">
        <f aca="false">VLOOKUP($F107,Category!$A$2:$AZ$20,19,0)</f>
        <v>0.0909090909090909</v>
      </c>
      <c r="AK107" s="6" t="n">
        <f aca="false">VLOOKUP($F107,Category!$A$2:$AZ$20,21,0)</f>
        <v>0.545454545454545</v>
      </c>
      <c r="AL107" s="6" t="n">
        <f aca="false">VLOOKUP($E107,Role!$A$2:$O$9,7,0)</f>
        <v>0.666</v>
      </c>
      <c r="AM107" s="6" t="n">
        <f aca="false">VLOOKUP($F107,Category!$A$2:$AZ$20,19,0)</f>
        <v>0.0909090909090909</v>
      </c>
      <c r="AN107" s="6" t="n">
        <f aca="false">VLOOKUP($F107,Category!$A$2:$AZ$20,21,0)</f>
        <v>0.545454545454545</v>
      </c>
      <c r="AO107" s="6" t="n">
        <f aca="false">VLOOKUP($E107,Role!$A$2:$O$9,5,0)</f>
        <v>0.666</v>
      </c>
      <c r="AP107" s="6" t="n">
        <f aca="false">VLOOKUP($F107,Category!$A$2:$AZ$20,9,0)</f>
        <v>0</v>
      </c>
      <c r="AQ107" s="6" t="n">
        <f aca="false">VLOOKUP($F107,Category!$A$2:$AZ$20,11,0)</f>
        <v>0.555555555555556</v>
      </c>
      <c r="AR107" s="6" t="n">
        <f aca="false">VLOOKUP($F107,Category!$A$2:$AZ$20,10,0)</f>
        <v>0.555555555555556</v>
      </c>
      <c r="AS107" s="6" t="n">
        <f aca="false">VLOOKUP($E107,Role!$A$2:$O$9,4,0)</f>
        <v>0.666</v>
      </c>
      <c r="AT107" s="7" t="n">
        <f aca="false">VLOOKUP($F107,Category!$A$2:$AZ$20,14,0)</f>
        <v>0.416666666666667</v>
      </c>
      <c r="AU107" s="7" t="n">
        <f aca="false">VLOOKUP($F107,Category!$A$2:$AZ$20,16,0)</f>
        <v>0.25</v>
      </c>
      <c r="AV107" s="7" t="n">
        <f aca="false">VLOOKUP($D107,Size!$A$2:$Z$14,17,0)</f>
        <v>2</v>
      </c>
      <c r="AW107" s="7" t="n">
        <f aca="false">VLOOKUP($E107,Role!$A$2:$O$9,3,0)</f>
        <v>0.666</v>
      </c>
      <c r="AX107" s="7" t="n">
        <f aca="false">VLOOKUP($F107,Category!$A$2:$AZ$20,29,0)</f>
        <v>0.333333333333333</v>
      </c>
      <c r="AY107" s="7" t="n">
        <f aca="false">VLOOKUP($F107,Category!$A$2:$AZ$20,31,0)</f>
        <v>0.333333333333333</v>
      </c>
      <c r="AZ107" s="7" t="n">
        <f aca="false">VLOOKUP($D107,Size!$A$2:$Z$14,16,0)</f>
        <v>5</v>
      </c>
      <c r="BA107" s="7" t="n">
        <f aca="false">VLOOKUP($E107,Role!$A$2:$O$9,2,0)</f>
        <v>0.666</v>
      </c>
      <c r="BC107" s="7" t="n">
        <f aca="false">VLOOKUP($D107,Size!$A$2:$Z$14,19,0)</f>
        <v>18</v>
      </c>
      <c r="BD107" s="7" t="n">
        <f aca="false">VLOOKUP($D107,Size!$A$2:$Z$14,20,0)</f>
        <v>4</v>
      </c>
      <c r="BE107" s="7" t="n">
        <f aca="false">VLOOKUP($E107,Role!$A$2:$O$9,12,0)</f>
        <v>1.25</v>
      </c>
      <c r="BF107" s="7" t="n">
        <f aca="false">VLOOKUP($C107,Type!$A$2:$B$4,2,0)</f>
        <v>1</v>
      </c>
      <c r="BG107" s="7" t="n">
        <f aca="false">VLOOKUP($D107,Size!$A$2:$Z$14,18,0)</f>
        <v>31.2018765062488</v>
      </c>
      <c r="BH107" s="7" t="n">
        <f aca="false">INT($BF107*$BG107*$BE107*$B107/2)</f>
        <v>97</v>
      </c>
      <c r="BI107" s="7" t="n">
        <f aca="false">INT(($BC107*$BF107)+($I107*$BD107))</f>
        <v>46</v>
      </c>
      <c r="BJ107" s="7" t="n">
        <f aca="false">INT((($I107*$BE107)+$BC107)*$BF107)</f>
        <v>26</v>
      </c>
      <c r="BK107" s="14"/>
      <c r="BL107" s="7" t="n">
        <f aca="false">VLOOKUP($E107,Role!$A$2:$O$9,13,0)</f>
        <v>1.25</v>
      </c>
      <c r="BM107" s="7" t="n">
        <f aca="false">VLOOKUP($E107,Role!$A$2:$O$9,11,0)</f>
        <v>0.666</v>
      </c>
      <c r="BO107" s="7" t="n">
        <f aca="false">VLOOKUP($E107,Role!$A$2:$O$9,8,0)</f>
        <v>0.75</v>
      </c>
      <c r="BP107" s="7" t="n">
        <f aca="false">VLOOKUP($E107,Role!$A$2:$O$9,9,0)</f>
        <v>0.75</v>
      </c>
      <c r="BQ107" s="7" t="n">
        <f aca="false">VLOOKUP($E107,Role!$A$2:$O$9,10,0)</f>
        <v>0.5</v>
      </c>
    </row>
    <row r="108" customFormat="false" ht="12.8" hidden="false" customHeight="false" outlineLevel="0" collapsed="false">
      <c r="B108" s="2" t="n">
        <v>5</v>
      </c>
      <c r="C108" s="3" t="s">
        <v>63</v>
      </c>
      <c r="D108" s="1" t="s">
        <v>88</v>
      </c>
      <c r="E108" s="1" t="s">
        <v>70</v>
      </c>
      <c r="F108" s="1" t="s">
        <v>79</v>
      </c>
      <c r="G108" s="1" t="s">
        <v>80</v>
      </c>
      <c r="H108" s="4" t="n">
        <f aca="false">VLOOKUP($D108,Size!$A$2:$Z$14,6,0)</f>
        <v>6</v>
      </c>
      <c r="I108" s="13" t="n">
        <f aca="false">INT(($B108*$AZ108*$AX108*$BA108)+($B108*$AY108))</f>
        <v>7</v>
      </c>
      <c r="J108" s="4" t="n">
        <f aca="false">ROUND((($B108*$AT108)+($AV108*$AU108))*$AW108,0)</f>
        <v>2</v>
      </c>
      <c r="K108" s="4" t="n">
        <f aca="false">ROUND((($B108*$AP108)+($B108*$AQ108))*$AS108,0)</f>
        <v>2</v>
      </c>
      <c r="L108" s="4" t="n">
        <f aca="false">ROUND((($B108*$AM108)+($B108*$AN108))*$AO108,0)</f>
        <v>2</v>
      </c>
      <c r="M108" s="4" t="n">
        <f aca="false">ROUND((($B108*$AG108)+($B108*$AH108))*$AI108,0)</f>
        <v>1</v>
      </c>
      <c r="N108" s="4" t="n">
        <f aca="false">ROUND((($B108*$AJ108)+($B108*$AK108))*$AL108,0)</f>
        <v>2</v>
      </c>
      <c r="O108" s="4" t="n">
        <f aca="false">INT($BO108*$B108)</f>
        <v>3</v>
      </c>
      <c r="P108" s="4" t="n">
        <f aca="false">INT($BP108*$B108)</f>
        <v>3</v>
      </c>
      <c r="Q108" s="4" t="n">
        <f aca="false">INT($BQ108*$B108*$AR108)</f>
        <v>1</v>
      </c>
      <c r="R108" s="4" t="n">
        <f aca="false">IF($R$1="WT/G",INT(POWER($BH108*$BJ108*$BI108,0.333333)),0)+IF($R$1="WT/A",INT(($BH108+$BJ108+$BI108)/3),0)+IF($R$1="WT/A2",INT(($BJ108+$BI108)/2),0)+IF($R$1="WT/W",INT(($BH108+$BJ108+$BJ108+$BI108)/4),0)+IF($R$1="WT/W2",INT(($BH108+$BJ108+$BI108+$BI108)/4),0)+IF($R$1="WT/N",INT(MIN($BH108,$BJ108,$BI108)),0)+IF($R$1="WT/M",INT(MAX($BH108,$BJ108,$BI108)),0)+IF($R$1="WT/1",INT($BH108),0)+IF($R$1="WT/2",INT($BI108),0)+IF($R$1="WT/3",INT($BJ108),0)</f>
        <v>64</v>
      </c>
      <c r="S108" s="4" t="n">
        <f aca="false">INT((10+$M108)*$BL108)</f>
        <v>13</v>
      </c>
      <c r="T108" s="4" t="n">
        <f aca="false">INT($I108*$BM108*$BF108)</f>
        <v>4</v>
      </c>
      <c r="U108" s="2" t="n">
        <f aca="false">ROUND(MAX($J108,$L108)+(MIN($J108,$L108)*$X108),0)</f>
        <v>4</v>
      </c>
      <c r="V108" s="2" t="n">
        <f aca="false">MAX(1,INT(((MIN($I108:$J108)+(MAX($I108:$J108)*$H108*$Y108)))*$Z108))</f>
        <v>66</v>
      </c>
      <c r="X108" s="5" t="n">
        <f aca="false">VLOOKUP($E108,Role!$A$2:$O$9,14,0)</f>
        <v>1</v>
      </c>
      <c r="Y108" s="5" t="n">
        <f aca="false">VLOOKUP($E108,Role!$A$2:$O$9,15,0)</f>
        <v>1</v>
      </c>
      <c r="Z108" s="5" t="n">
        <f aca="false">VLOOKUP($G108,Movement!$A$2:$C$7,3,0)</f>
        <v>1.5</v>
      </c>
      <c r="AB108" s="5" t="n">
        <f aca="false">INT(5+(($H108-1)/3))</f>
        <v>6</v>
      </c>
      <c r="AC108" s="5" t="n">
        <f aca="false">IF($AB108&lt;$I108,$I108-MAX($AB108,$B108),0)</f>
        <v>1</v>
      </c>
      <c r="AD108" s="5" t="n">
        <f aca="false">(5-ROUND(($H108-1)/3,0))</f>
        <v>3</v>
      </c>
      <c r="AE108" s="5" t="n">
        <f aca="false">IF($AD108&lt;$J108,$J108-MAX($AD108,$B108),0)</f>
        <v>0</v>
      </c>
      <c r="AG108" s="6" t="n">
        <f aca="false">VLOOKUP($F108,Category!$A$2:$AZ$20,24,0)</f>
        <v>0</v>
      </c>
      <c r="AH108" s="6" t="n">
        <f aca="false">VLOOKUP($F108,Category!$A$2:$AZ$20,26,0)</f>
        <v>0.333333333333333</v>
      </c>
      <c r="AI108" s="6" t="n">
        <f aca="false">VLOOKUP($E108,Role!$A$2:$O$9,6,0)</f>
        <v>0.666</v>
      </c>
      <c r="AJ108" s="6" t="n">
        <f aca="false">VLOOKUP($F108,Category!$A$2:$AZ$20,19,0)</f>
        <v>0.0909090909090909</v>
      </c>
      <c r="AK108" s="6" t="n">
        <f aca="false">VLOOKUP($F108,Category!$A$2:$AZ$20,21,0)</f>
        <v>0.545454545454545</v>
      </c>
      <c r="AL108" s="6" t="n">
        <f aca="false">VLOOKUP($E108,Role!$A$2:$O$9,7,0)</f>
        <v>0.666</v>
      </c>
      <c r="AM108" s="6" t="n">
        <f aca="false">VLOOKUP($F108,Category!$A$2:$AZ$20,19,0)</f>
        <v>0.0909090909090909</v>
      </c>
      <c r="AN108" s="6" t="n">
        <f aca="false">VLOOKUP($F108,Category!$A$2:$AZ$20,21,0)</f>
        <v>0.545454545454545</v>
      </c>
      <c r="AO108" s="6" t="n">
        <f aca="false">VLOOKUP($E108,Role!$A$2:$O$9,5,0)</f>
        <v>0.666</v>
      </c>
      <c r="AP108" s="6" t="n">
        <f aca="false">VLOOKUP($F108,Category!$A$2:$AZ$20,9,0)</f>
        <v>0</v>
      </c>
      <c r="AQ108" s="6" t="n">
        <f aca="false">VLOOKUP($F108,Category!$A$2:$AZ$20,11,0)</f>
        <v>0.555555555555556</v>
      </c>
      <c r="AR108" s="6" t="n">
        <f aca="false">VLOOKUP($F108,Category!$A$2:$AZ$20,10,0)</f>
        <v>0.555555555555556</v>
      </c>
      <c r="AS108" s="6" t="n">
        <f aca="false">VLOOKUP($E108,Role!$A$2:$O$9,4,0)</f>
        <v>0.666</v>
      </c>
      <c r="AT108" s="7" t="n">
        <f aca="false">VLOOKUP($F108,Category!$A$2:$AZ$20,14,0)</f>
        <v>0.416666666666667</v>
      </c>
      <c r="AU108" s="7" t="n">
        <f aca="false">VLOOKUP($F108,Category!$A$2:$AZ$20,16,0)</f>
        <v>0.25</v>
      </c>
      <c r="AV108" s="7" t="n">
        <f aca="false">VLOOKUP($D108,Size!$A$2:$Z$14,17,0)</f>
        <v>2</v>
      </c>
      <c r="AW108" s="7" t="n">
        <f aca="false">VLOOKUP($E108,Role!$A$2:$O$9,3,0)</f>
        <v>0.666</v>
      </c>
      <c r="AX108" s="7" t="n">
        <f aca="false">VLOOKUP($F108,Category!$A$2:$AZ$20,29,0)</f>
        <v>0.333333333333333</v>
      </c>
      <c r="AY108" s="7" t="n">
        <f aca="false">VLOOKUP($F108,Category!$A$2:$AZ$20,31,0)</f>
        <v>0.333333333333333</v>
      </c>
      <c r="AZ108" s="7" t="n">
        <f aca="false">VLOOKUP($D108,Size!$A$2:$Z$14,16,0)</f>
        <v>5</v>
      </c>
      <c r="BA108" s="7" t="n">
        <f aca="false">VLOOKUP($E108,Role!$A$2:$O$9,2,0)</f>
        <v>0.666</v>
      </c>
      <c r="BC108" s="7" t="n">
        <f aca="false">VLOOKUP($D108,Size!$A$2:$Z$14,19,0)</f>
        <v>20</v>
      </c>
      <c r="BD108" s="7" t="n">
        <f aca="false">VLOOKUP($D108,Size!$A$2:$Z$14,20,0)</f>
        <v>5</v>
      </c>
      <c r="BE108" s="7" t="n">
        <f aca="false">VLOOKUP($E108,Role!$A$2:$O$9,12,0)</f>
        <v>1.25</v>
      </c>
      <c r="BF108" s="7" t="n">
        <f aca="false">VLOOKUP($C108,Type!$A$2:$B$4,2,0)</f>
        <v>1</v>
      </c>
      <c r="BG108" s="7" t="n">
        <f aca="false">VLOOKUP($D108,Size!$A$2:$Z$14,18,0)</f>
        <v>38.7177346253629</v>
      </c>
      <c r="BH108" s="7" t="n">
        <f aca="false">INT($BF108*$BG108*$BE108*$B108/2)</f>
        <v>120</v>
      </c>
      <c r="BI108" s="7" t="n">
        <f aca="false">INT(($BC108*$BF108)+($I108*$BD108))</f>
        <v>55</v>
      </c>
      <c r="BJ108" s="7" t="n">
        <f aca="false">INT((($I108*$BE108)+$BC108)*$BF108)</f>
        <v>28</v>
      </c>
      <c r="BK108" s="14"/>
      <c r="BL108" s="7" t="n">
        <f aca="false">VLOOKUP($E108,Role!$A$2:$O$9,13,0)</f>
        <v>1.25</v>
      </c>
      <c r="BM108" s="7" t="n">
        <f aca="false">VLOOKUP($E108,Role!$A$2:$O$9,11,0)</f>
        <v>0.666</v>
      </c>
      <c r="BO108" s="7" t="n">
        <f aca="false">VLOOKUP($E108,Role!$A$2:$O$9,8,0)</f>
        <v>0.75</v>
      </c>
      <c r="BP108" s="7" t="n">
        <f aca="false">VLOOKUP($E108,Role!$A$2:$O$9,9,0)</f>
        <v>0.75</v>
      </c>
      <c r="BQ108" s="7" t="n">
        <f aca="false">VLOOKUP($E108,Role!$A$2:$O$9,10,0)</f>
        <v>0.5</v>
      </c>
    </row>
    <row r="109" customFormat="false" ht="12.8" hidden="false" customHeight="false" outlineLevel="0" collapsed="false">
      <c r="B109" s="2" t="n">
        <v>5</v>
      </c>
      <c r="C109" s="3" t="s">
        <v>63</v>
      </c>
      <c r="D109" s="1" t="s">
        <v>89</v>
      </c>
      <c r="E109" s="1" t="s">
        <v>70</v>
      </c>
      <c r="F109" s="1" t="s">
        <v>79</v>
      </c>
      <c r="G109" s="1" t="s">
        <v>80</v>
      </c>
      <c r="H109" s="4" t="n">
        <f aca="false">VLOOKUP($D109,Size!$A$2:$Z$14,6,0)</f>
        <v>7</v>
      </c>
      <c r="I109" s="13" t="n">
        <f aca="false">INT(($B109*$AZ109*$AX109*$BA109)+($B109*$AY109))</f>
        <v>7</v>
      </c>
      <c r="J109" s="4" t="n">
        <f aca="false">ROUND((($B109*$AT109)+($AV109*$AU109))*$AW109,0)</f>
        <v>2</v>
      </c>
      <c r="K109" s="4" t="n">
        <f aca="false">ROUND((($B109*$AP109)+($B109*$AQ109))*$AS109,0)</f>
        <v>2</v>
      </c>
      <c r="L109" s="4" t="n">
        <f aca="false">ROUND((($B109*$AM109)+($B109*$AN109))*$AO109,0)</f>
        <v>2</v>
      </c>
      <c r="M109" s="4" t="n">
        <f aca="false">ROUND((($B109*$AG109)+($B109*$AH109))*$AI109,0)</f>
        <v>1</v>
      </c>
      <c r="N109" s="4" t="n">
        <f aca="false">ROUND((($B109*$AJ109)+($B109*$AK109))*$AL109,0)</f>
        <v>2</v>
      </c>
      <c r="O109" s="4" t="n">
        <f aca="false">INT($BO109*$B109)</f>
        <v>3</v>
      </c>
      <c r="P109" s="4" t="n">
        <f aca="false">INT($BP109*$B109)</f>
        <v>3</v>
      </c>
      <c r="Q109" s="4" t="n">
        <f aca="false">INT($BQ109*$B109*$AR109)</f>
        <v>1</v>
      </c>
      <c r="R109" s="4" t="n">
        <f aca="false">IF($R$1="WT/G",INT(POWER($BH109*$BJ109*$BI109,0.333333)),0)+IF($R$1="WT/A",INT(($BH109+$BJ109+$BI109)/3),0)+IF($R$1="WT/A2",INT(($BJ109+$BI109)/2),0)+IF($R$1="WT/W",INT(($BH109+$BJ109+$BJ109+$BI109)/4),0)+IF($R$1="WT/W2",INT(($BH109+$BJ109+$BI109+$BI109)/4),0)+IF($R$1="WT/N",INT(MIN($BH109,$BJ109,$BI109)),0)+IF($R$1="WT/M",INT(MAX($BH109,$BJ109,$BI109)),0)+IF($R$1="WT/1",INT($BH109),0)+IF($R$1="WT/2",INT($BI109),0)+IF($R$1="WT/3",INT($BJ109),0)</f>
        <v>75</v>
      </c>
      <c r="S109" s="4" t="n">
        <f aca="false">INT((10+$M109)*$BL109)</f>
        <v>13</v>
      </c>
      <c r="T109" s="4" t="n">
        <f aca="false">INT($I109*$BM109*$BF109)</f>
        <v>4</v>
      </c>
      <c r="U109" s="2" t="n">
        <f aca="false">ROUND(MAX($J109,$L109)+(MIN($J109,$L109)*$X109),0)</f>
        <v>4</v>
      </c>
      <c r="V109" s="2" t="n">
        <f aca="false">MAX(1,INT(((MIN($I109:$J109)+(MAX($I109:$J109)*$H109*$Y109)))*$Z109))</f>
        <v>76</v>
      </c>
      <c r="X109" s="5" t="n">
        <f aca="false">VLOOKUP($E109,Role!$A$2:$O$9,14,0)</f>
        <v>1</v>
      </c>
      <c r="Y109" s="5" t="n">
        <f aca="false">VLOOKUP($E109,Role!$A$2:$O$9,15,0)</f>
        <v>1</v>
      </c>
      <c r="Z109" s="5" t="n">
        <f aca="false">VLOOKUP($G109,Movement!$A$2:$C$7,3,0)</f>
        <v>1.5</v>
      </c>
      <c r="AB109" s="5" t="n">
        <f aca="false">INT(5+(($H109-1)/3))</f>
        <v>7</v>
      </c>
      <c r="AC109" s="5" t="n">
        <f aca="false">IF($AB109&lt;$I109,$I109-MAX($AB109,$B109),0)</f>
        <v>0</v>
      </c>
      <c r="AD109" s="5" t="n">
        <f aca="false">(5-ROUND(($H109-1)/3,0))</f>
        <v>3</v>
      </c>
      <c r="AE109" s="5" t="n">
        <f aca="false">IF($AD109&lt;$J109,$J109-MAX($AD109,$B109),0)</f>
        <v>0</v>
      </c>
      <c r="AG109" s="6" t="n">
        <f aca="false">VLOOKUP($F109,Category!$A$2:$AZ$20,24,0)</f>
        <v>0</v>
      </c>
      <c r="AH109" s="6" t="n">
        <f aca="false">VLOOKUP($F109,Category!$A$2:$AZ$20,26,0)</f>
        <v>0.333333333333333</v>
      </c>
      <c r="AI109" s="6" t="n">
        <f aca="false">VLOOKUP($E109,Role!$A$2:$O$9,6,0)</f>
        <v>0.666</v>
      </c>
      <c r="AJ109" s="6" t="n">
        <f aca="false">VLOOKUP($F109,Category!$A$2:$AZ$20,19,0)</f>
        <v>0.0909090909090909</v>
      </c>
      <c r="AK109" s="6" t="n">
        <f aca="false">VLOOKUP($F109,Category!$A$2:$AZ$20,21,0)</f>
        <v>0.545454545454545</v>
      </c>
      <c r="AL109" s="6" t="n">
        <f aca="false">VLOOKUP($E109,Role!$A$2:$O$9,7,0)</f>
        <v>0.666</v>
      </c>
      <c r="AM109" s="6" t="n">
        <f aca="false">VLOOKUP($F109,Category!$A$2:$AZ$20,19,0)</f>
        <v>0.0909090909090909</v>
      </c>
      <c r="AN109" s="6" t="n">
        <f aca="false">VLOOKUP($F109,Category!$A$2:$AZ$20,21,0)</f>
        <v>0.545454545454545</v>
      </c>
      <c r="AO109" s="6" t="n">
        <f aca="false">VLOOKUP($E109,Role!$A$2:$O$9,5,0)</f>
        <v>0.666</v>
      </c>
      <c r="AP109" s="6" t="n">
        <f aca="false">VLOOKUP($F109,Category!$A$2:$AZ$20,9,0)</f>
        <v>0</v>
      </c>
      <c r="AQ109" s="6" t="n">
        <f aca="false">VLOOKUP($F109,Category!$A$2:$AZ$20,11,0)</f>
        <v>0.555555555555556</v>
      </c>
      <c r="AR109" s="6" t="n">
        <f aca="false">VLOOKUP($F109,Category!$A$2:$AZ$20,10,0)</f>
        <v>0.555555555555556</v>
      </c>
      <c r="AS109" s="6" t="n">
        <f aca="false">VLOOKUP($E109,Role!$A$2:$O$9,4,0)</f>
        <v>0.666</v>
      </c>
      <c r="AT109" s="7" t="n">
        <f aca="false">VLOOKUP($F109,Category!$A$2:$AZ$20,14,0)</f>
        <v>0.416666666666667</v>
      </c>
      <c r="AU109" s="7" t="n">
        <f aca="false">VLOOKUP($F109,Category!$A$2:$AZ$20,16,0)</f>
        <v>0.25</v>
      </c>
      <c r="AV109" s="7" t="n">
        <f aca="false">VLOOKUP($D109,Size!$A$2:$Z$14,17,0)</f>
        <v>2</v>
      </c>
      <c r="AW109" s="7" t="n">
        <f aca="false">VLOOKUP($E109,Role!$A$2:$O$9,3,0)</f>
        <v>0.666</v>
      </c>
      <c r="AX109" s="7" t="n">
        <f aca="false">VLOOKUP($F109,Category!$A$2:$AZ$20,29,0)</f>
        <v>0.333333333333333</v>
      </c>
      <c r="AY109" s="7" t="n">
        <f aca="false">VLOOKUP($F109,Category!$A$2:$AZ$20,31,0)</f>
        <v>0.333333333333333</v>
      </c>
      <c r="AZ109" s="7" t="n">
        <f aca="false">VLOOKUP($D109,Size!$A$2:$Z$14,16,0)</f>
        <v>5</v>
      </c>
      <c r="BA109" s="7" t="n">
        <f aca="false">VLOOKUP($E109,Role!$A$2:$O$9,2,0)</f>
        <v>0.666</v>
      </c>
      <c r="BC109" s="7" t="n">
        <f aca="false">VLOOKUP($D109,Size!$A$2:$Z$14,19,0)</f>
        <v>22</v>
      </c>
      <c r="BD109" s="7" t="n">
        <f aca="false">VLOOKUP($D109,Size!$A$2:$Z$14,20,0)</f>
        <v>6</v>
      </c>
      <c r="BE109" s="7" t="n">
        <f aca="false">VLOOKUP($E109,Role!$A$2:$O$9,12,0)</f>
        <v>1.25</v>
      </c>
      <c r="BF109" s="7" t="n">
        <f aca="false">VLOOKUP($C109,Type!$A$2:$B$4,2,0)</f>
        <v>1</v>
      </c>
      <c r="BG109" s="7" t="n">
        <f aca="false">VLOOKUP($D109,Size!$A$2:$Z$14,18,0)</f>
        <v>46.4833054890161</v>
      </c>
      <c r="BH109" s="7" t="n">
        <f aca="false">INT($BF109*$BG109*$BE109*$B109/2)</f>
        <v>145</v>
      </c>
      <c r="BI109" s="7" t="n">
        <f aca="false">INT(($BC109*$BF109)+($I109*$BD109))</f>
        <v>64</v>
      </c>
      <c r="BJ109" s="7" t="n">
        <f aca="false">INT((($I109*$BE109)+$BC109)*$BF109)</f>
        <v>30</v>
      </c>
      <c r="BK109" s="14"/>
      <c r="BL109" s="7" t="n">
        <f aca="false">VLOOKUP($E109,Role!$A$2:$O$9,13,0)</f>
        <v>1.25</v>
      </c>
      <c r="BM109" s="7" t="n">
        <f aca="false">VLOOKUP($E109,Role!$A$2:$O$9,11,0)</f>
        <v>0.666</v>
      </c>
      <c r="BO109" s="7" t="n">
        <f aca="false">VLOOKUP($E109,Role!$A$2:$O$9,8,0)</f>
        <v>0.75</v>
      </c>
      <c r="BP109" s="7" t="n">
        <f aca="false">VLOOKUP($E109,Role!$A$2:$O$9,9,0)</f>
        <v>0.75</v>
      </c>
      <c r="BQ109" s="7" t="n">
        <f aca="false">VLOOKUP($E109,Role!$A$2:$O$9,10,0)</f>
        <v>0.5</v>
      </c>
    </row>
    <row r="110" customFormat="false" ht="12.8" hidden="false" customHeight="false" outlineLevel="0" collapsed="false">
      <c r="C110" s="3" t="s">
        <v>63</v>
      </c>
      <c r="E110" s="1" t="s">
        <v>70</v>
      </c>
      <c r="H110" s="4" t="e">
        <f aca="false">VLOOKUP($D110,Size!$A$2:$Z$14,6,0)</f>
        <v>#N/A</v>
      </c>
      <c r="I110" s="13" t="e">
        <f aca="false">INT(($B110*$AZ110*$AX110*$BA110)+($B110*$AY110))</f>
        <v>#N/A</v>
      </c>
      <c r="J110" s="4" t="e">
        <f aca="false">ROUND((($B110*$AT110)+($AV110*$AU110))*$AW110,0)</f>
        <v>#N/A</v>
      </c>
      <c r="K110" s="4" t="e">
        <f aca="false">ROUND((($B110*$AP110)+($B110*$AQ110))*$AS110,0)</f>
        <v>#N/A</v>
      </c>
      <c r="L110" s="4" t="e">
        <f aca="false">ROUND((($B110*$AM110)+($B110*$AN110))*$AO110,0)</f>
        <v>#N/A</v>
      </c>
      <c r="M110" s="4" t="e">
        <f aca="false">ROUND((($B110*$AG110)+($B110*$AH110))*$AI110,0)</f>
        <v>#N/A</v>
      </c>
      <c r="N110" s="4" t="e">
        <f aca="false">ROUND((($B110*$AJ110)+($B110*$AK110))*$AL110,0)</f>
        <v>#N/A</v>
      </c>
      <c r="O110" s="4" t="n">
        <f aca="false">INT($BO110*$B110)</f>
        <v>0</v>
      </c>
      <c r="P110" s="4" t="n">
        <f aca="false">INT($BP110*$B110)</f>
        <v>0</v>
      </c>
      <c r="Q110" s="4" t="e">
        <f aca="false">INT($BQ110*$B110*$AR110)</f>
        <v>#N/A</v>
      </c>
      <c r="R110" s="4" t="e">
        <f aca="false">IF($R$1="WT/G",INT(POWER($BH110*$BJ110*$BI110,0.333333)),0)+IF($R$1="WT/A",INT(($BH110+$BJ110+$BI110)/3),0)+IF($R$1="WT/A2",INT(($BJ110+$BI110)/2),0)+IF($R$1="WT/W",INT(($BH110+$BJ110+$BJ110+$BI110)/4),0)+IF($R$1="WT/W2",INT(($BH110+$BJ110+$BI110+$BI110)/4),0)+IF($R$1="WT/N",INT(MIN($BH110,$BJ110,$BI110)),0)+IF($R$1="WT/M",INT(MAX($BH110,$BJ110,$BI110)),0)+IF($R$1="WT/1",INT($BH110),0)+IF($R$1="WT/2",INT($BI110),0)+IF($R$1="WT/3",INT($BJ110),0)</f>
        <v>#N/A</v>
      </c>
      <c r="S110" s="4" t="e">
        <f aca="false">INT((10+$M110)*$BL110)</f>
        <v>#N/A</v>
      </c>
      <c r="T110" s="4" t="e">
        <f aca="false">INT($I110*$BM110*$BF110)</f>
        <v>#N/A</v>
      </c>
      <c r="U110" s="2" t="e">
        <f aca="false">ROUND(MAX($J110,$L110)+(MIN($J110,$L110)*$X110),0)</f>
        <v>#N/A</v>
      </c>
      <c r="V110" s="2" t="e">
        <f aca="false">MAX(1,INT(((MIN($I110:$J110)+(MAX($I110:$J110)*$H110*$Y110)))*$Z110))</f>
        <v>#N/A</v>
      </c>
      <c r="X110" s="5" t="n">
        <f aca="false">VLOOKUP($E110,Role!$A$2:$O$9,14,0)</f>
        <v>1</v>
      </c>
      <c r="Y110" s="5" t="n">
        <f aca="false">VLOOKUP($E110,Role!$A$2:$O$9,15,0)</f>
        <v>1</v>
      </c>
      <c r="Z110" s="5" t="e">
        <f aca="false">VLOOKUP($G110,Movement!$A$2:$C$7,3,0)</f>
        <v>#N/A</v>
      </c>
      <c r="AB110" s="5" t="e">
        <f aca="false">INT(5+(($H110-1)/3))</f>
        <v>#N/A</v>
      </c>
      <c r="AC110" s="5" t="e">
        <f aca="false">IF($AB110&lt;$I110,$I110-MAX($AB110,$B110),0)</f>
        <v>#N/A</v>
      </c>
      <c r="AD110" s="5" t="e">
        <f aca="false">(5-ROUND(($H110-1)/3,0))</f>
        <v>#N/A</v>
      </c>
      <c r="AE110" s="5" t="e">
        <f aca="false">IF($AD110&lt;$J110,$J110-MAX($AD110,$B110),0)</f>
        <v>#N/A</v>
      </c>
      <c r="AG110" s="6" t="e">
        <f aca="false">VLOOKUP($F110,Category!$A$2:$AZ$20,24,0)</f>
        <v>#N/A</v>
      </c>
      <c r="AH110" s="6" t="e">
        <f aca="false">VLOOKUP($F110,Category!$A$2:$AZ$20,26,0)</f>
        <v>#N/A</v>
      </c>
      <c r="AI110" s="6" t="n">
        <f aca="false">VLOOKUP($E110,Role!$A$2:$O$9,6,0)</f>
        <v>0.666</v>
      </c>
      <c r="AJ110" s="6" t="e">
        <f aca="false">VLOOKUP($F110,Category!$A$2:$AZ$20,19,0)</f>
        <v>#N/A</v>
      </c>
      <c r="AK110" s="6" t="e">
        <f aca="false">VLOOKUP($F110,Category!$A$2:$AZ$20,21,0)</f>
        <v>#N/A</v>
      </c>
      <c r="AL110" s="6" t="n">
        <f aca="false">VLOOKUP($E110,Role!$A$2:$O$9,7,0)</f>
        <v>0.666</v>
      </c>
      <c r="AM110" s="6" t="e">
        <f aca="false">VLOOKUP($F110,Category!$A$2:$AZ$20,19,0)</f>
        <v>#N/A</v>
      </c>
      <c r="AN110" s="6" t="e">
        <f aca="false">VLOOKUP($F110,Category!$A$2:$AZ$20,21,0)</f>
        <v>#N/A</v>
      </c>
      <c r="AO110" s="6" t="n">
        <f aca="false">VLOOKUP($E110,Role!$A$2:$O$9,5,0)</f>
        <v>0.666</v>
      </c>
      <c r="AP110" s="6" t="e">
        <f aca="false">VLOOKUP($F110,Category!$A$2:$AZ$20,9,0)</f>
        <v>#N/A</v>
      </c>
      <c r="AQ110" s="6" t="e">
        <f aca="false">VLOOKUP($F110,Category!$A$2:$AZ$20,11,0)</f>
        <v>#N/A</v>
      </c>
      <c r="AR110" s="6" t="e">
        <f aca="false">VLOOKUP($F110,Category!$A$2:$AZ$20,10,0)</f>
        <v>#N/A</v>
      </c>
      <c r="AS110" s="6" t="n">
        <f aca="false">VLOOKUP($E110,Role!$A$2:$O$9,4,0)</f>
        <v>0.666</v>
      </c>
      <c r="AT110" s="7" t="e">
        <f aca="false">VLOOKUP($F110,Category!$A$2:$AZ$20,14,0)</f>
        <v>#N/A</v>
      </c>
      <c r="AU110" s="7" t="e">
        <f aca="false">VLOOKUP($F110,Category!$A$2:$AZ$20,16,0)</f>
        <v>#N/A</v>
      </c>
      <c r="AV110" s="7" t="e">
        <f aca="false">VLOOKUP($D110,Size!$A$2:$Z$14,17,0)</f>
        <v>#N/A</v>
      </c>
      <c r="AW110" s="7" t="n">
        <f aca="false">VLOOKUP($E110,Role!$A$2:$O$9,3,0)</f>
        <v>0.666</v>
      </c>
      <c r="AX110" s="7" t="e">
        <f aca="false">VLOOKUP($F110,Category!$A$2:$AZ$20,29,0)</f>
        <v>#N/A</v>
      </c>
      <c r="AY110" s="7" t="e">
        <f aca="false">VLOOKUP($F110,Category!$A$2:$AZ$20,31,0)</f>
        <v>#N/A</v>
      </c>
      <c r="AZ110" s="7" t="e">
        <f aca="false">VLOOKUP($D110,Size!$A$2:$Z$14,16,0)</f>
        <v>#N/A</v>
      </c>
      <c r="BA110" s="7" t="n">
        <f aca="false">VLOOKUP($E110,Role!$A$2:$O$9,2,0)</f>
        <v>0.666</v>
      </c>
      <c r="BC110" s="7" t="e">
        <f aca="false">VLOOKUP($D110,Size!$A$2:$Z$14,19,0)</f>
        <v>#N/A</v>
      </c>
      <c r="BD110" s="7" t="e">
        <f aca="false">VLOOKUP($D110,Size!$A$2:$Z$14,20,0)</f>
        <v>#N/A</v>
      </c>
      <c r="BE110" s="7" t="n">
        <f aca="false">VLOOKUP($E110,Role!$A$2:$O$9,12,0)</f>
        <v>1.25</v>
      </c>
      <c r="BF110" s="7" t="n">
        <f aca="false">VLOOKUP($C110,Type!$A$2:$B$4,2,0)</f>
        <v>1</v>
      </c>
      <c r="BG110" s="7" t="e">
        <f aca="false">VLOOKUP($D110,Size!$A$2:$Z$14,18,0)</f>
        <v>#N/A</v>
      </c>
      <c r="BH110" s="7" t="e">
        <f aca="false">INT($BF110*$BG110*$BE110*$B110/2)</f>
        <v>#N/A</v>
      </c>
      <c r="BI110" s="7" t="e">
        <f aca="false">INT(($BC110*$BF110)+($I110*$BD110))</f>
        <v>#N/A</v>
      </c>
      <c r="BJ110" s="7" t="e">
        <f aca="false">INT((($I110*$BE110)+$BC110)*$BF110)</f>
        <v>#N/A</v>
      </c>
      <c r="BK110" s="14"/>
      <c r="BL110" s="7" t="n">
        <f aca="false">VLOOKUP($E110,Role!$A$2:$O$9,13,0)</f>
        <v>1.25</v>
      </c>
      <c r="BM110" s="7" t="n">
        <f aca="false">VLOOKUP($E110,Role!$A$2:$O$9,11,0)</f>
        <v>0.666</v>
      </c>
      <c r="BO110" s="7" t="n">
        <f aca="false">VLOOKUP($E110,Role!$A$2:$O$9,8,0)</f>
        <v>0.75</v>
      </c>
      <c r="BP110" s="7" t="n">
        <f aca="false">VLOOKUP($E110,Role!$A$2:$O$9,9,0)</f>
        <v>0.75</v>
      </c>
      <c r="BQ110" s="7" t="n">
        <f aca="false">VLOOKUP($E110,Role!$A$2:$O$9,10,0)</f>
        <v>0.5</v>
      </c>
    </row>
    <row r="111" customFormat="false" ht="12.8" hidden="false" customHeight="false" outlineLevel="0" collapsed="false">
      <c r="B111" s="2" t="n">
        <v>6</v>
      </c>
      <c r="C111" s="3" t="s">
        <v>63</v>
      </c>
      <c r="D111" s="1" t="s">
        <v>84</v>
      </c>
      <c r="E111" s="1" t="s">
        <v>70</v>
      </c>
      <c r="F111" s="1" t="s">
        <v>75</v>
      </c>
      <c r="G111" s="1" t="s">
        <v>67</v>
      </c>
      <c r="H111" s="4" t="n">
        <f aca="false">VLOOKUP($D111,Size!$A$2:$Z$14,6,0)</f>
        <v>2</v>
      </c>
      <c r="I111" s="13" t="n">
        <f aca="false">INT(($B111*$AZ111*$AX111*$BA111)+($B111*$AY111))</f>
        <v>7</v>
      </c>
      <c r="J111" s="4" t="n">
        <f aca="false">ROUND((($B111*$AT111)+($AV111*$AU111))*$AW111,0)</f>
        <v>2</v>
      </c>
      <c r="K111" s="4" t="n">
        <f aca="false">ROUND((($B111*$AP111)+($B111*$AQ111))*$AS111,0)</f>
        <v>4</v>
      </c>
      <c r="L111" s="4" t="n">
        <f aca="false">ROUND((($B111*$AM111)+($B111*$AN111))*$AO111,0)</f>
        <v>4</v>
      </c>
      <c r="M111" s="4" t="n">
        <f aca="false">ROUND((($B111*$AG111)+($B111*$AH111))*$AI111,0)</f>
        <v>4</v>
      </c>
      <c r="N111" s="4" t="n">
        <f aca="false">ROUND((($B111*$AJ111)+($B111*$AK111))*$AL111,0)</f>
        <v>4</v>
      </c>
      <c r="O111" s="4" t="n">
        <f aca="false">INT($BO111*$B111)</f>
        <v>4</v>
      </c>
      <c r="P111" s="4" t="n">
        <f aca="false">INT($BP111*$B111)</f>
        <v>4</v>
      </c>
      <c r="Q111" s="4" t="n">
        <f aca="false">INT($BQ111*$B111*$AR111)</f>
        <v>3</v>
      </c>
      <c r="R111" s="4" t="n">
        <f aca="false">IF($R$1="WT/G",INT(POWER($BH111*$BJ111*$BI111,0.333333)),0)+IF($R$1="WT/A",INT(($BH111+$BJ111+$BI111)/3),0)+IF($R$1="WT/A2",INT(($BJ111+$BI111)/2),0)+IF($R$1="WT/W",INT(($BH111+$BJ111+$BJ111+$BI111)/4),0)+IF($R$1="WT/W2",INT(($BH111+$BJ111+$BI111+$BI111)/4),0)+IF($R$1="WT/N",INT(MIN($BH111,$BJ111,$BI111)),0)+IF($R$1="WT/M",INT(MAX($BH111,$BJ111,$BI111)),0)+IF($R$1="WT/1",INT($BH111),0)+IF($R$1="WT/2",INT($BI111),0)+IF($R$1="WT/3",INT($BJ111),0)</f>
        <v>31</v>
      </c>
      <c r="S111" s="4" t="n">
        <f aca="false">INT((10+$M111)*$BL111)</f>
        <v>17</v>
      </c>
      <c r="T111" s="4" t="n">
        <f aca="false">INT($I111*$BM111*$BF111)</f>
        <v>4</v>
      </c>
      <c r="U111" s="2" t="n">
        <f aca="false">ROUND(MAX($J111,$L111)+(MIN($J111,$L111)*$X111),0)</f>
        <v>6</v>
      </c>
      <c r="V111" s="2" t="n">
        <f aca="false">MAX(1,INT(((MIN($I111:$J111)+(MAX($I111:$J111)*$H111*$Y111)))*$Z111))</f>
        <v>16</v>
      </c>
      <c r="X111" s="5" t="n">
        <f aca="false">VLOOKUP($E111,Role!$A$2:$O$9,14,0)</f>
        <v>1</v>
      </c>
      <c r="Y111" s="5" t="n">
        <f aca="false">VLOOKUP($E111,Role!$A$2:$O$9,15,0)</f>
        <v>1</v>
      </c>
      <c r="Z111" s="5" t="n">
        <f aca="false">VLOOKUP($G111,Movement!$A$2:$C$7,3,0)</f>
        <v>1</v>
      </c>
      <c r="AB111" s="5" t="n">
        <f aca="false">INT(5+(($H111-1)/3))</f>
        <v>5</v>
      </c>
      <c r="AC111" s="5" t="n">
        <f aca="false">IF($AB111&lt;$I111,$I111-MAX($AB111,$B111),0)</f>
        <v>1</v>
      </c>
      <c r="AD111" s="5" t="n">
        <f aca="false">(5-ROUND(($H111-1)/3,0))</f>
        <v>5</v>
      </c>
      <c r="AE111" s="5" t="n">
        <f aca="false">IF($AD111&lt;$J111,$J111-MAX($AD111,$B111),0)</f>
        <v>0</v>
      </c>
      <c r="AG111" s="6" t="n">
        <f aca="false">VLOOKUP($F111,Category!$A$2:$AZ$20,24,0)</f>
        <v>0.111111111111111</v>
      </c>
      <c r="AH111" s="6" t="n">
        <f aca="false">VLOOKUP($F111,Category!$A$2:$AZ$20,26,0)</f>
        <v>1</v>
      </c>
      <c r="AI111" s="6" t="n">
        <f aca="false">VLOOKUP($E111,Role!$A$2:$O$9,6,0)</f>
        <v>0.666</v>
      </c>
      <c r="AJ111" s="6" t="n">
        <f aca="false">VLOOKUP($F111,Category!$A$2:$AZ$20,19,0)</f>
        <v>0.0909090909090909</v>
      </c>
      <c r="AK111" s="6" t="n">
        <f aca="false">VLOOKUP($F111,Category!$A$2:$AZ$20,21,0)</f>
        <v>0.818181818181818</v>
      </c>
      <c r="AL111" s="6" t="n">
        <f aca="false">VLOOKUP($E111,Role!$A$2:$O$9,7,0)</f>
        <v>0.666</v>
      </c>
      <c r="AM111" s="6" t="n">
        <f aca="false">VLOOKUP($F111,Category!$A$2:$AZ$20,19,0)</f>
        <v>0.0909090909090909</v>
      </c>
      <c r="AN111" s="6" t="n">
        <f aca="false">VLOOKUP($F111,Category!$A$2:$AZ$20,21,0)</f>
        <v>0.818181818181818</v>
      </c>
      <c r="AO111" s="6" t="n">
        <f aca="false">VLOOKUP($E111,Role!$A$2:$O$9,5,0)</f>
        <v>0.666</v>
      </c>
      <c r="AP111" s="6" t="n">
        <f aca="false">VLOOKUP($F111,Category!$A$2:$AZ$20,9,0)</f>
        <v>0.111111111111111</v>
      </c>
      <c r="AQ111" s="6" t="n">
        <f aca="false">VLOOKUP($F111,Category!$A$2:$AZ$20,11,0)</f>
        <v>0.888888888888889</v>
      </c>
      <c r="AR111" s="6" t="n">
        <f aca="false">VLOOKUP($F111,Category!$A$2:$AZ$20,10,0)</f>
        <v>1</v>
      </c>
      <c r="AS111" s="6" t="n">
        <f aca="false">VLOOKUP($E111,Role!$A$2:$O$9,4,0)</f>
        <v>0.666</v>
      </c>
      <c r="AT111" s="7" t="n">
        <f aca="false">VLOOKUP($F111,Category!$A$2:$AZ$20,14,0)</f>
        <v>0.333333333333333</v>
      </c>
      <c r="AU111" s="7" t="n">
        <f aca="false">VLOOKUP($F111,Category!$A$2:$AZ$20,16,0)</f>
        <v>0.5</v>
      </c>
      <c r="AV111" s="7" t="n">
        <f aca="false">VLOOKUP($D111,Size!$A$2:$Z$14,17,0)</f>
        <v>3</v>
      </c>
      <c r="AW111" s="7" t="n">
        <f aca="false">VLOOKUP($E111,Role!$A$2:$O$9,3,0)</f>
        <v>0.666</v>
      </c>
      <c r="AX111" s="7" t="n">
        <f aca="false">VLOOKUP($F111,Category!$A$2:$AZ$20,29,0)</f>
        <v>0.333333333333333</v>
      </c>
      <c r="AY111" s="7" t="n">
        <f aca="false">VLOOKUP($F111,Category!$A$2:$AZ$20,31,0)</f>
        <v>0.555555555555556</v>
      </c>
      <c r="AZ111" s="7" t="n">
        <f aca="false">VLOOKUP($D111,Size!$A$2:$Z$14,16,0)</f>
        <v>3</v>
      </c>
      <c r="BA111" s="7" t="n">
        <f aca="false">VLOOKUP($E111,Role!$A$2:$O$9,2,0)</f>
        <v>0.666</v>
      </c>
      <c r="BC111" s="7" t="n">
        <f aca="false">VLOOKUP($D111,Size!$A$2:$Z$14,19,0)</f>
        <v>12</v>
      </c>
      <c r="BD111" s="7" t="n">
        <f aca="false">VLOOKUP($D111,Size!$A$2:$Z$14,20,0)</f>
        <v>1.5</v>
      </c>
      <c r="BE111" s="7" t="n">
        <f aca="false">VLOOKUP($E111,Role!$A$2:$O$9,12,0)</f>
        <v>1.25</v>
      </c>
      <c r="BF111" s="7" t="n">
        <f aca="false">VLOOKUP($C111,Type!$A$2:$B$4,2,0)</f>
        <v>1</v>
      </c>
      <c r="BG111" s="7" t="n">
        <f aca="false">VLOOKUP($D111,Size!$A$2:$Z$14,18,0)</f>
        <v>16.2236679323423</v>
      </c>
      <c r="BH111" s="7" t="n">
        <f aca="false">INT($BF111*$BG111*$BE111*$B111/2)</f>
        <v>60</v>
      </c>
      <c r="BI111" s="7" t="n">
        <f aca="false">INT(($BC111*$BF111)+($I111*$BD111))</f>
        <v>22</v>
      </c>
      <c r="BJ111" s="7" t="n">
        <f aca="false">INT((($I111*$BE111)+$BC111)*$BF111)</f>
        <v>20</v>
      </c>
      <c r="BK111" s="14"/>
      <c r="BL111" s="7" t="n">
        <f aca="false">VLOOKUP($E111,Role!$A$2:$O$9,13,0)</f>
        <v>1.25</v>
      </c>
      <c r="BM111" s="7" t="n">
        <f aca="false">VLOOKUP($E111,Role!$A$2:$O$9,11,0)</f>
        <v>0.666</v>
      </c>
      <c r="BO111" s="7" t="n">
        <f aca="false">VLOOKUP($E111,Role!$A$2:$O$9,8,0)</f>
        <v>0.75</v>
      </c>
      <c r="BP111" s="7" t="n">
        <f aca="false">VLOOKUP($E111,Role!$A$2:$O$9,9,0)</f>
        <v>0.75</v>
      </c>
      <c r="BQ111" s="7" t="n">
        <f aca="false">VLOOKUP($E111,Role!$A$2:$O$9,10,0)</f>
        <v>0.5</v>
      </c>
    </row>
    <row r="112" customFormat="false" ht="12.8" hidden="false" customHeight="false" outlineLevel="0" collapsed="false">
      <c r="C112" s="3" t="s">
        <v>63</v>
      </c>
      <c r="E112" s="1" t="s">
        <v>70</v>
      </c>
      <c r="H112" s="4" t="e">
        <f aca="false">VLOOKUP($D112,Size!$A$2:$Z$14,6,0)</f>
        <v>#N/A</v>
      </c>
      <c r="I112" s="13" t="e">
        <f aca="false">INT(($B112*$AZ112*$AX112*$BA112)+($B112*$AY112))</f>
        <v>#N/A</v>
      </c>
      <c r="J112" s="4" t="e">
        <f aca="false">ROUND((($B112*$AT112)+($AV112*$AU112))*$AW112,0)</f>
        <v>#N/A</v>
      </c>
      <c r="K112" s="4" t="e">
        <f aca="false">ROUND((($B112*$AP112)+($B112*$AQ112))*$AS112,0)</f>
        <v>#N/A</v>
      </c>
      <c r="L112" s="4" t="e">
        <f aca="false">ROUND((($B112*$AM112)+($B112*$AN112))*$AO112,0)</f>
        <v>#N/A</v>
      </c>
      <c r="M112" s="4" t="e">
        <f aca="false">ROUND((($B112*$AG112)+($B112*$AH112))*$AI112,0)</f>
        <v>#N/A</v>
      </c>
      <c r="N112" s="4" t="e">
        <f aca="false">ROUND((($B112*$AJ112)+($B112*$AK112))*$AL112,0)</f>
        <v>#N/A</v>
      </c>
      <c r="O112" s="4" t="n">
        <f aca="false">INT($BO112*$B112)</f>
        <v>0</v>
      </c>
      <c r="P112" s="4" t="n">
        <f aca="false">INT($BP112*$B112)</f>
        <v>0</v>
      </c>
      <c r="Q112" s="4" t="e">
        <f aca="false">INT($BQ112*$B112*$AR112)</f>
        <v>#N/A</v>
      </c>
      <c r="R112" s="4" t="e">
        <f aca="false">IF($R$1="WT/G",INT(POWER($BH112*$BJ112*$BI112,0.333333)),0)+IF($R$1="WT/A",INT(($BH112+$BJ112+$BI112)/3),0)+IF($R$1="WT/A2",INT(($BJ112+$BI112)/2),0)+IF($R$1="WT/W",INT(($BH112+$BJ112+$BJ112+$BI112)/4),0)+IF($R$1="WT/W2",INT(($BH112+$BJ112+$BI112+$BI112)/4),0)+IF($R$1="WT/N",INT(MIN($BH112,$BJ112,$BI112)),0)+IF($R$1="WT/M",INT(MAX($BH112,$BJ112,$BI112)),0)+IF($R$1="WT/1",INT($BH112),0)+IF($R$1="WT/2",INT($BI112),0)+IF($R$1="WT/3",INT($BJ112),0)</f>
        <v>#N/A</v>
      </c>
      <c r="S112" s="4" t="e">
        <f aca="false">INT((10+$M112)*$BL112)</f>
        <v>#N/A</v>
      </c>
      <c r="T112" s="4" t="e">
        <f aca="false">INT($I112*$BM112*$BF112)</f>
        <v>#N/A</v>
      </c>
      <c r="U112" s="2" t="e">
        <f aca="false">ROUND(MAX($J112,$L112)+(MIN($J112,$L112)*$X112),0)</f>
        <v>#N/A</v>
      </c>
      <c r="V112" s="2" t="e">
        <f aca="false">MAX(1,INT(((MIN($I112:$J112)+(MAX($I112:$J112)*$H112*$Y112)))*$Z112))</f>
        <v>#N/A</v>
      </c>
      <c r="X112" s="5" t="n">
        <f aca="false">VLOOKUP($E112,Role!$A$2:$O$9,14,0)</f>
        <v>1</v>
      </c>
      <c r="Y112" s="5" t="n">
        <f aca="false">VLOOKUP($E112,Role!$A$2:$O$9,15,0)</f>
        <v>1</v>
      </c>
      <c r="Z112" s="5" t="e">
        <f aca="false">VLOOKUP($G112,Movement!$A$2:$C$7,3,0)</f>
        <v>#N/A</v>
      </c>
      <c r="AB112" s="5" t="e">
        <f aca="false">INT(5+(($H112-1)/3))</f>
        <v>#N/A</v>
      </c>
      <c r="AC112" s="5" t="e">
        <f aca="false">IF($AB112&lt;$I112,$I112-MAX($AB112,$B112),0)</f>
        <v>#N/A</v>
      </c>
      <c r="AD112" s="5" t="e">
        <f aca="false">(5-ROUND(($H112-1)/3,0))</f>
        <v>#N/A</v>
      </c>
      <c r="AE112" s="5" t="e">
        <f aca="false">IF($AD112&lt;$J112,$J112-MAX($AD112,$B112),0)</f>
        <v>#N/A</v>
      </c>
      <c r="AG112" s="6" t="e">
        <f aca="false">VLOOKUP($F112,Category!$A$2:$AZ$20,24,0)</f>
        <v>#N/A</v>
      </c>
      <c r="AH112" s="6" t="e">
        <f aca="false">VLOOKUP($F112,Category!$A$2:$AZ$20,26,0)</f>
        <v>#N/A</v>
      </c>
      <c r="AI112" s="6" t="n">
        <f aca="false">VLOOKUP($E112,Role!$A$2:$O$9,6,0)</f>
        <v>0.666</v>
      </c>
      <c r="AJ112" s="6" t="e">
        <f aca="false">VLOOKUP($F112,Category!$A$2:$AZ$20,19,0)</f>
        <v>#N/A</v>
      </c>
      <c r="AK112" s="6" t="e">
        <f aca="false">VLOOKUP($F112,Category!$A$2:$AZ$20,21,0)</f>
        <v>#N/A</v>
      </c>
      <c r="AL112" s="6" t="n">
        <f aca="false">VLOOKUP($E112,Role!$A$2:$O$9,7,0)</f>
        <v>0.666</v>
      </c>
      <c r="AM112" s="6" t="e">
        <f aca="false">VLOOKUP($F112,Category!$A$2:$AZ$20,19,0)</f>
        <v>#N/A</v>
      </c>
      <c r="AN112" s="6" t="e">
        <f aca="false">VLOOKUP($F112,Category!$A$2:$AZ$20,21,0)</f>
        <v>#N/A</v>
      </c>
      <c r="AO112" s="6" t="n">
        <f aca="false">VLOOKUP($E112,Role!$A$2:$O$9,5,0)</f>
        <v>0.666</v>
      </c>
      <c r="AP112" s="6" t="e">
        <f aca="false">VLOOKUP($F112,Category!$A$2:$AZ$20,9,0)</f>
        <v>#N/A</v>
      </c>
      <c r="AQ112" s="6" t="e">
        <f aca="false">VLOOKUP($F112,Category!$A$2:$AZ$20,11,0)</f>
        <v>#N/A</v>
      </c>
      <c r="AR112" s="6" t="e">
        <f aca="false">VLOOKUP($F112,Category!$A$2:$AZ$20,10,0)</f>
        <v>#N/A</v>
      </c>
      <c r="AS112" s="6" t="n">
        <f aca="false">VLOOKUP($E112,Role!$A$2:$O$9,4,0)</f>
        <v>0.666</v>
      </c>
      <c r="AT112" s="7" t="e">
        <f aca="false">VLOOKUP($F112,Category!$A$2:$AZ$20,14,0)</f>
        <v>#N/A</v>
      </c>
      <c r="AU112" s="7" t="e">
        <f aca="false">VLOOKUP($F112,Category!$A$2:$AZ$20,16,0)</f>
        <v>#N/A</v>
      </c>
      <c r="AV112" s="7" t="e">
        <f aca="false">VLOOKUP($D112,Size!$A$2:$Z$14,17,0)</f>
        <v>#N/A</v>
      </c>
      <c r="AW112" s="7" t="n">
        <f aca="false">VLOOKUP($E112,Role!$A$2:$O$9,3,0)</f>
        <v>0.666</v>
      </c>
      <c r="AX112" s="7" t="e">
        <f aca="false">VLOOKUP($F112,Category!$A$2:$AZ$20,29,0)</f>
        <v>#N/A</v>
      </c>
      <c r="AY112" s="7" t="e">
        <f aca="false">VLOOKUP($F112,Category!$A$2:$AZ$20,31,0)</f>
        <v>#N/A</v>
      </c>
      <c r="AZ112" s="7" t="e">
        <f aca="false">VLOOKUP($D112,Size!$A$2:$Z$14,16,0)</f>
        <v>#N/A</v>
      </c>
      <c r="BA112" s="7" t="n">
        <f aca="false">VLOOKUP($E112,Role!$A$2:$O$9,2,0)</f>
        <v>0.666</v>
      </c>
      <c r="BC112" s="7" t="e">
        <f aca="false">VLOOKUP($D112,Size!$A$2:$Z$14,19,0)</f>
        <v>#N/A</v>
      </c>
      <c r="BD112" s="7" t="e">
        <f aca="false">VLOOKUP($D112,Size!$A$2:$Z$14,20,0)</f>
        <v>#N/A</v>
      </c>
      <c r="BE112" s="7" t="n">
        <f aca="false">VLOOKUP($E112,Role!$A$2:$O$9,12,0)</f>
        <v>1.25</v>
      </c>
      <c r="BF112" s="7" t="n">
        <f aca="false">VLOOKUP($C112,Type!$A$2:$B$4,2,0)</f>
        <v>1</v>
      </c>
      <c r="BG112" s="7" t="e">
        <f aca="false">VLOOKUP($D112,Size!$A$2:$Z$14,18,0)</f>
        <v>#N/A</v>
      </c>
      <c r="BH112" s="7" t="e">
        <f aca="false">INT($BF112*$BG112*$BE112*$B112/2)</f>
        <v>#N/A</v>
      </c>
      <c r="BI112" s="7" t="e">
        <f aca="false">INT(($BC112*$BF112)+($I112*$BD112))</f>
        <v>#N/A</v>
      </c>
      <c r="BJ112" s="7" t="e">
        <f aca="false">INT((($I112*$BE112)+$BC112)*$BF112)</f>
        <v>#N/A</v>
      </c>
      <c r="BK112" s="14"/>
      <c r="BL112" s="7" t="n">
        <f aca="false">VLOOKUP($E112,Role!$A$2:$O$9,13,0)</f>
        <v>1.25</v>
      </c>
      <c r="BM112" s="7" t="n">
        <f aca="false">VLOOKUP($E112,Role!$A$2:$O$9,11,0)</f>
        <v>0.666</v>
      </c>
      <c r="BO112" s="7" t="n">
        <f aca="false">VLOOKUP($E112,Role!$A$2:$O$9,8,0)</f>
        <v>0.75</v>
      </c>
      <c r="BP112" s="7" t="n">
        <f aca="false">VLOOKUP($E112,Role!$A$2:$O$9,9,0)</f>
        <v>0.75</v>
      </c>
      <c r="BQ112" s="7" t="n">
        <f aca="false">VLOOKUP($E112,Role!$A$2:$O$9,10,0)</f>
        <v>0.5</v>
      </c>
    </row>
    <row r="113" customFormat="false" ht="12.8" hidden="false" customHeight="false" outlineLevel="0" collapsed="false">
      <c r="B113" s="2" t="n">
        <v>5</v>
      </c>
      <c r="C113" s="3" t="s">
        <v>63</v>
      </c>
      <c r="D113" s="1" t="s">
        <v>78</v>
      </c>
      <c r="E113" s="1" t="s">
        <v>70</v>
      </c>
      <c r="F113" s="1" t="s">
        <v>92</v>
      </c>
      <c r="G113" s="1" t="s">
        <v>80</v>
      </c>
      <c r="H113" s="4" t="n">
        <f aca="false">VLOOKUP($D113,Size!$A$2:$Z$14,6,0)</f>
        <v>-3</v>
      </c>
      <c r="I113" s="13" t="n">
        <f aca="false">INT(($B113*$AZ113*$AX113*$BA113)+($B113*$AY113))</f>
        <v>3</v>
      </c>
      <c r="J113" s="4" t="n">
        <f aca="false">ROUND((($B113*$AT113)+($AV113*$AU113))*$AW113,0)</f>
        <v>2</v>
      </c>
      <c r="K113" s="4" t="n">
        <f aca="false">ROUND((($B113*$AP113)+($B113*$AQ113))*$AS113,0)</f>
        <v>2</v>
      </c>
      <c r="L113" s="4" t="n">
        <f aca="false">ROUND((($B113*$AM113)+($B113*$AN113))*$AO113,0)</f>
        <v>2</v>
      </c>
      <c r="M113" s="4" t="n">
        <f aca="false">ROUND((($B113*$AG113)+($B113*$AH113))*$AI113,0)</f>
        <v>2</v>
      </c>
      <c r="N113" s="4" t="n">
        <f aca="false">ROUND((($B113*$AJ113)+($B113*$AK113))*$AL113,0)</f>
        <v>2</v>
      </c>
      <c r="O113" s="4" t="n">
        <f aca="false">INT($BO113*$B113)</f>
        <v>3</v>
      </c>
      <c r="P113" s="4" t="n">
        <f aca="false">INT($BP113*$B113)</f>
        <v>3</v>
      </c>
      <c r="Q113" s="4" t="n">
        <f aca="false">INT($BQ113*$B113*$AR113)</f>
        <v>1</v>
      </c>
      <c r="R113" s="4" t="n">
        <f aca="false">IF($R$1="WT/G",INT(POWER($BH113*$BJ113*$BI113,0.333333)),0)+IF($R$1="WT/A",INT(($BH113+$BJ113+$BI113)/3),0)+IF($R$1="WT/A2",INT(($BJ113+$BI113)/2),0)+IF($R$1="WT/W",INT(($BH113+$BJ113+$BJ113+$BI113)/4),0)+IF($R$1="WT/W2",INT(($BH113+$BJ113+$BI113+$BI113)/4),0)+IF($R$1="WT/N",INT(MIN($BH113,$BJ113,$BI113)),0)+IF($R$1="WT/M",INT(MAX($BH113,$BJ113,$BI113)),0)+IF($R$1="WT/1",INT($BH113),0)+IF($R$1="WT/2",INT($BI113),0)+IF($R$1="WT/3",INT($BJ113),0)</f>
        <v>7</v>
      </c>
      <c r="S113" s="4" t="n">
        <f aca="false">INT((10+$M113)*$BL113)</f>
        <v>15</v>
      </c>
      <c r="T113" s="4" t="n">
        <f aca="false">INT($I113*$BM113*$BF113)</f>
        <v>1</v>
      </c>
      <c r="U113" s="2" t="n">
        <f aca="false">ROUND(MAX($J113,$L113)+(MIN($J113,$L113)*$X113),0)</f>
        <v>4</v>
      </c>
      <c r="V113" s="2" t="n">
        <f aca="false">MAX(1,INT(((MIN($I113:$J113)+(MAX($I113:$J113)*$H113*$Y113)))*$Z113))</f>
        <v>1</v>
      </c>
      <c r="X113" s="5" t="n">
        <f aca="false">VLOOKUP($E113,Role!$A$2:$O$9,14,0)</f>
        <v>1</v>
      </c>
      <c r="Y113" s="5" t="n">
        <f aca="false">VLOOKUP($E113,Role!$A$2:$O$9,15,0)</f>
        <v>1</v>
      </c>
      <c r="Z113" s="5" t="n">
        <f aca="false">VLOOKUP($G113,Movement!$A$2:$C$7,3,0)</f>
        <v>1.5</v>
      </c>
      <c r="AB113" s="5" t="n">
        <f aca="false">INT(5+(($H113-1)/3))</f>
        <v>3</v>
      </c>
      <c r="AC113" s="5" t="n">
        <f aca="false">IF($AB113&lt;$I113,$I113-MAX($AB113,$B113),0)</f>
        <v>0</v>
      </c>
      <c r="AD113" s="5" t="n">
        <f aca="false">(5-ROUND(($H113-1)/3,0))</f>
        <v>6</v>
      </c>
      <c r="AE113" s="5" t="n">
        <f aca="false">IF($AD113&lt;$J113,$J113-MAX($AD113,$B113),0)</f>
        <v>0</v>
      </c>
      <c r="AG113" s="6" t="n">
        <f aca="false">VLOOKUP($F113,Category!$A$2:$AZ$20,24,0)</f>
        <v>0.111111111111111</v>
      </c>
      <c r="AH113" s="6" t="n">
        <f aca="false">VLOOKUP($F113,Category!$A$2:$AZ$20,26,0)</f>
        <v>0.444444444444444</v>
      </c>
      <c r="AI113" s="6" t="n">
        <f aca="false">VLOOKUP($E113,Role!$A$2:$O$9,6,0)</f>
        <v>0.666</v>
      </c>
      <c r="AJ113" s="6" t="n">
        <f aca="false">VLOOKUP($F113,Category!$A$2:$AZ$20,19,0)</f>
        <v>0.0909090909090909</v>
      </c>
      <c r="AK113" s="6" t="n">
        <f aca="false">VLOOKUP($F113,Category!$A$2:$AZ$20,21,0)</f>
        <v>0.545454545454545</v>
      </c>
      <c r="AL113" s="6" t="n">
        <f aca="false">VLOOKUP($E113,Role!$A$2:$O$9,7,0)</f>
        <v>0.666</v>
      </c>
      <c r="AM113" s="6" t="n">
        <f aca="false">VLOOKUP($F113,Category!$A$2:$AZ$20,19,0)</f>
        <v>0.0909090909090909</v>
      </c>
      <c r="AN113" s="6" t="n">
        <f aca="false">VLOOKUP($F113,Category!$A$2:$AZ$20,21,0)</f>
        <v>0.545454545454545</v>
      </c>
      <c r="AO113" s="6" t="n">
        <f aca="false">VLOOKUP($E113,Role!$A$2:$O$9,5,0)</f>
        <v>0.666</v>
      </c>
      <c r="AP113" s="6" t="n">
        <f aca="false">VLOOKUP($F113,Category!$A$2:$AZ$20,9,0)</f>
        <v>0.222222222222222</v>
      </c>
      <c r="AQ113" s="6" t="n">
        <f aca="false">VLOOKUP($F113,Category!$A$2:$AZ$20,11,0)</f>
        <v>0.444444444444444</v>
      </c>
      <c r="AR113" s="6" t="n">
        <f aca="false">VLOOKUP($F113,Category!$A$2:$AZ$20,10,0)</f>
        <v>0.666666666666667</v>
      </c>
      <c r="AS113" s="6" t="n">
        <f aca="false">VLOOKUP($E113,Role!$A$2:$O$9,4,0)</f>
        <v>0.666</v>
      </c>
      <c r="AT113" s="7" t="n">
        <f aca="false">VLOOKUP($F113,Category!$A$2:$AZ$20,14,0)</f>
        <v>0.416666666666667</v>
      </c>
      <c r="AU113" s="7" t="n">
        <f aca="false">VLOOKUP($F113,Category!$A$2:$AZ$20,16,0)</f>
        <v>0.25</v>
      </c>
      <c r="AV113" s="7" t="n">
        <f aca="false">VLOOKUP($D113,Size!$A$2:$Z$14,17,0)</f>
        <v>4</v>
      </c>
      <c r="AW113" s="7" t="n">
        <f aca="false">VLOOKUP($E113,Role!$A$2:$O$9,3,0)</f>
        <v>0.666</v>
      </c>
      <c r="AX113" s="7" t="n">
        <f aca="false">VLOOKUP($F113,Category!$A$2:$AZ$20,29,0)</f>
        <v>0.333333333333333</v>
      </c>
      <c r="AY113" s="7" t="n">
        <f aca="false">VLOOKUP($F113,Category!$A$2:$AZ$20,31,0)</f>
        <v>0.444444444444444</v>
      </c>
      <c r="AZ113" s="7" t="n">
        <f aca="false">VLOOKUP($D113,Size!$A$2:$Z$14,16,0)</f>
        <v>1</v>
      </c>
      <c r="BA113" s="7" t="n">
        <f aca="false">VLOOKUP($E113,Role!$A$2:$O$9,2,0)</f>
        <v>0.666</v>
      </c>
      <c r="BC113" s="7" t="n">
        <f aca="false">VLOOKUP($D113,Size!$A$2:$Z$14,19,0)</f>
        <v>6</v>
      </c>
      <c r="BD113" s="7" t="n">
        <f aca="false">VLOOKUP($D113,Size!$A$2:$Z$14,20,0)</f>
        <v>0.33</v>
      </c>
      <c r="BE113" s="7" t="n">
        <f aca="false">VLOOKUP($E113,Role!$A$2:$O$9,12,0)</f>
        <v>1.25</v>
      </c>
      <c r="BF113" s="7" t="n">
        <f aca="false">VLOOKUP($C113,Type!$A$2:$B$4,2,0)</f>
        <v>1</v>
      </c>
      <c r="BG113" s="7" t="n">
        <f aca="false">VLOOKUP($D113,Size!$A$2:$Z$14,18,0)</f>
        <v>2.71683715631514</v>
      </c>
      <c r="BH113" s="7" t="n">
        <f aca="false">INT($BF113*$BG113*$BE113*$B113/2)</f>
        <v>8</v>
      </c>
      <c r="BI113" s="7" t="n">
        <f aca="false">INT(($BC113*$BF113)+($I113*$BD113))</f>
        <v>6</v>
      </c>
      <c r="BJ113" s="7" t="n">
        <f aca="false">INT((($I113*$BE113)+$BC113)*$BF113)</f>
        <v>9</v>
      </c>
      <c r="BK113" s="14"/>
      <c r="BL113" s="7" t="n">
        <f aca="false">VLOOKUP($E113,Role!$A$2:$O$9,13,0)</f>
        <v>1.25</v>
      </c>
      <c r="BM113" s="7" t="n">
        <f aca="false">VLOOKUP($E113,Role!$A$2:$O$9,11,0)</f>
        <v>0.666</v>
      </c>
      <c r="BO113" s="7" t="n">
        <f aca="false">VLOOKUP($E113,Role!$A$2:$O$9,8,0)</f>
        <v>0.75</v>
      </c>
      <c r="BP113" s="7" t="n">
        <f aca="false">VLOOKUP($E113,Role!$A$2:$O$9,9,0)</f>
        <v>0.75</v>
      </c>
      <c r="BQ113" s="7" t="n">
        <f aca="false">VLOOKUP($E113,Role!$A$2:$O$9,10,0)</f>
        <v>0.5</v>
      </c>
    </row>
    <row r="114" customFormat="false" ht="12.8" hidden="false" customHeight="false" outlineLevel="0" collapsed="false">
      <c r="B114" s="2" t="n">
        <v>5</v>
      </c>
      <c r="C114" s="3" t="s">
        <v>63</v>
      </c>
      <c r="D114" s="1" t="s">
        <v>81</v>
      </c>
      <c r="E114" s="1" t="s">
        <v>70</v>
      </c>
      <c r="F114" s="1" t="s">
        <v>92</v>
      </c>
      <c r="G114" s="1" t="s">
        <v>80</v>
      </c>
      <c r="H114" s="4" t="n">
        <f aca="false">VLOOKUP($D114,Size!$A$2:$Z$14,6,0)</f>
        <v>-2</v>
      </c>
      <c r="I114" s="13" t="n">
        <f aca="false">INT(($B114*$AZ114*$AX114*$BA114)+($B114*$AY114))</f>
        <v>4</v>
      </c>
      <c r="J114" s="4" t="n">
        <f aca="false">ROUND((($B114*$AT114)+($AV114*$AU114))*$AW114,0)</f>
        <v>2</v>
      </c>
      <c r="K114" s="4" t="n">
        <f aca="false">ROUND((($B114*$AP114)+($B114*$AQ114))*$AS114,0)</f>
        <v>2</v>
      </c>
      <c r="L114" s="4" t="n">
        <f aca="false">ROUND((($B114*$AM114)+($B114*$AN114))*$AO114,0)</f>
        <v>2</v>
      </c>
      <c r="M114" s="4" t="n">
        <f aca="false">ROUND((($B114*$AG114)+($B114*$AH114))*$AI114,0)</f>
        <v>2</v>
      </c>
      <c r="N114" s="4" t="n">
        <f aca="false">ROUND((($B114*$AJ114)+($B114*$AK114))*$AL114,0)</f>
        <v>2</v>
      </c>
      <c r="O114" s="4" t="n">
        <f aca="false">INT($BO114*$B114)</f>
        <v>3</v>
      </c>
      <c r="P114" s="4" t="n">
        <f aca="false">INT($BP114*$B114)</f>
        <v>3</v>
      </c>
      <c r="Q114" s="4" t="n">
        <f aca="false">INT($BQ114*$B114*$AR114)</f>
        <v>1</v>
      </c>
      <c r="R114" s="4" t="n">
        <f aca="false">IF($R$1="WT/G",INT(POWER($BH114*$BJ114*$BI114,0.333333)),0)+IF($R$1="WT/A",INT(($BH114+$BJ114+$BI114)/3),0)+IF($R$1="WT/A2",INT(($BJ114+$BI114)/2),0)+IF($R$1="WT/W",INT(($BH114+$BJ114+$BJ114+$BI114)/4),0)+IF($R$1="WT/W2",INT(($BH114+$BJ114+$BI114+$BI114)/4),0)+IF($R$1="WT/N",INT(MIN($BH114,$BJ114,$BI114)),0)+IF($R$1="WT/M",INT(MAX($BH114,$BJ114,$BI114)),0)+IF($R$1="WT/1",INT($BH114),0)+IF($R$1="WT/2",INT($BI114),0)+IF($R$1="WT/3",INT($BJ114),0)</f>
        <v>12</v>
      </c>
      <c r="S114" s="4" t="n">
        <f aca="false">INT((10+$M114)*$BL114)</f>
        <v>15</v>
      </c>
      <c r="T114" s="4" t="n">
        <f aca="false">INT($I114*$BM114*$BF114)</f>
        <v>2</v>
      </c>
      <c r="U114" s="2" t="n">
        <f aca="false">ROUND(MAX($J114,$L114)+(MIN($J114,$L114)*$X114),0)</f>
        <v>4</v>
      </c>
      <c r="V114" s="2" t="n">
        <f aca="false">MAX(1,INT(((MIN($I114:$J114)+(MAX($I114:$J114)*$H114*$Y114)))*$Z114))</f>
        <v>1</v>
      </c>
      <c r="X114" s="5" t="n">
        <f aca="false">VLOOKUP($E114,Role!$A$2:$O$9,14,0)</f>
        <v>1</v>
      </c>
      <c r="Y114" s="5" t="n">
        <f aca="false">VLOOKUP($E114,Role!$A$2:$O$9,15,0)</f>
        <v>1</v>
      </c>
      <c r="Z114" s="5" t="n">
        <f aca="false">VLOOKUP($G114,Movement!$A$2:$C$7,3,0)</f>
        <v>1.5</v>
      </c>
      <c r="AB114" s="5" t="n">
        <f aca="false">INT(5+(($H114-1)/3))</f>
        <v>4</v>
      </c>
      <c r="AC114" s="5" t="n">
        <f aca="false">IF($AB114&lt;$I114,$I114-MAX($AB114,$B114),0)</f>
        <v>0</v>
      </c>
      <c r="AD114" s="5" t="n">
        <f aca="false">(5-ROUND(($H114-1)/3,0))</f>
        <v>6</v>
      </c>
      <c r="AE114" s="5" t="n">
        <f aca="false">IF($AD114&lt;$J114,$J114-MAX($AD114,$B114),0)</f>
        <v>0</v>
      </c>
      <c r="AG114" s="6" t="n">
        <f aca="false">VLOOKUP($F114,Category!$A$2:$AZ$20,24,0)</f>
        <v>0.111111111111111</v>
      </c>
      <c r="AH114" s="6" t="n">
        <f aca="false">VLOOKUP($F114,Category!$A$2:$AZ$20,26,0)</f>
        <v>0.444444444444444</v>
      </c>
      <c r="AI114" s="6" t="n">
        <f aca="false">VLOOKUP($E114,Role!$A$2:$O$9,6,0)</f>
        <v>0.666</v>
      </c>
      <c r="AJ114" s="6" t="n">
        <f aca="false">VLOOKUP($F114,Category!$A$2:$AZ$20,19,0)</f>
        <v>0.0909090909090909</v>
      </c>
      <c r="AK114" s="6" t="n">
        <f aca="false">VLOOKUP($F114,Category!$A$2:$AZ$20,21,0)</f>
        <v>0.545454545454545</v>
      </c>
      <c r="AL114" s="6" t="n">
        <f aca="false">VLOOKUP($E114,Role!$A$2:$O$9,7,0)</f>
        <v>0.666</v>
      </c>
      <c r="AM114" s="6" t="n">
        <f aca="false">VLOOKUP($F114,Category!$A$2:$AZ$20,19,0)</f>
        <v>0.0909090909090909</v>
      </c>
      <c r="AN114" s="6" t="n">
        <f aca="false">VLOOKUP($F114,Category!$A$2:$AZ$20,21,0)</f>
        <v>0.545454545454545</v>
      </c>
      <c r="AO114" s="6" t="n">
        <f aca="false">VLOOKUP($E114,Role!$A$2:$O$9,5,0)</f>
        <v>0.666</v>
      </c>
      <c r="AP114" s="6" t="n">
        <f aca="false">VLOOKUP($F114,Category!$A$2:$AZ$20,9,0)</f>
        <v>0.222222222222222</v>
      </c>
      <c r="AQ114" s="6" t="n">
        <f aca="false">VLOOKUP($F114,Category!$A$2:$AZ$20,11,0)</f>
        <v>0.444444444444444</v>
      </c>
      <c r="AR114" s="6" t="n">
        <f aca="false">VLOOKUP($F114,Category!$A$2:$AZ$20,10,0)</f>
        <v>0.666666666666667</v>
      </c>
      <c r="AS114" s="6" t="n">
        <f aca="false">VLOOKUP($E114,Role!$A$2:$O$9,4,0)</f>
        <v>0.666</v>
      </c>
      <c r="AT114" s="7" t="n">
        <f aca="false">VLOOKUP($F114,Category!$A$2:$AZ$20,14,0)</f>
        <v>0.416666666666667</v>
      </c>
      <c r="AU114" s="7" t="n">
        <f aca="false">VLOOKUP($F114,Category!$A$2:$AZ$20,16,0)</f>
        <v>0.25</v>
      </c>
      <c r="AV114" s="7" t="n">
        <f aca="false">VLOOKUP($D114,Size!$A$2:$Z$14,17,0)</f>
        <v>3</v>
      </c>
      <c r="AW114" s="7" t="n">
        <f aca="false">VLOOKUP($E114,Role!$A$2:$O$9,3,0)</f>
        <v>0.666</v>
      </c>
      <c r="AX114" s="7" t="n">
        <f aca="false">VLOOKUP($F114,Category!$A$2:$AZ$20,29,0)</f>
        <v>0.333333333333333</v>
      </c>
      <c r="AY114" s="7" t="n">
        <f aca="false">VLOOKUP($F114,Category!$A$2:$AZ$20,31,0)</f>
        <v>0.444444444444444</v>
      </c>
      <c r="AZ114" s="7" t="n">
        <f aca="false">VLOOKUP($D114,Size!$A$2:$Z$14,16,0)</f>
        <v>2</v>
      </c>
      <c r="BA114" s="7" t="n">
        <f aca="false">VLOOKUP($E114,Role!$A$2:$O$9,2,0)</f>
        <v>0.666</v>
      </c>
      <c r="BC114" s="7" t="n">
        <f aca="false">VLOOKUP($D114,Size!$A$2:$Z$14,19,0)</f>
        <v>7</v>
      </c>
      <c r="BD114" s="7" t="n">
        <f aca="false">VLOOKUP($D114,Size!$A$2:$Z$14,20,0)</f>
        <v>0.5</v>
      </c>
      <c r="BE114" s="7" t="n">
        <f aca="false">VLOOKUP($E114,Role!$A$2:$O$9,12,0)</f>
        <v>1.25</v>
      </c>
      <c r="BF114" s="7" t="n">
        <f aca="false">VLOOKUP($C114,Type!$A$2:$B$4,2,0)</f>
        <v>1</v>
      </c>
      <c r="BG114" s="7" t="n">
        <f aca="false">VLOOKUP($D114,Size!$A$2:$Z$14,18,0)</f>
        <v>6.5643914849257</v>
      </c>
      <c r="BH114" s="7" t="n">
        <f aca="false">INT($BF114*$BG114*$BE114*$B114/2)</f>
        <v>20</v>
      </c>
      <c r="BI114" s="7" t="n">
        <f aca="false">INT(($BC114*$BF114)+($I114*$BD114))</f>
        <v>9</v>
      </c>
      <c r="BJ114" s="7" t="n">
        <f aca="false">INT((($I114*$BE114)+$BC114)*$BF114)</f>
        <v>12</v>
      </c>
      <c r="BK114" s="14"/>
      <c r="BL114" s="7" t="n">
        <f aca="false">VLOOKUP($E114,Role!$A$2:$O$9,13,0)</f>
        <v>1.25</v>
      </c>
      <c r="BM114" s="7" t="n">
        <f aca="false">VLOOKUP($E114,Role!$A$2:$O$9,11,0)</f>
        <v>0.666</v>
      </c>
      <c r="BO114" s="7" t="n">
        <f aca="false">VLOOKUP($E114,Role!$A$2:$O$9,8,0)</f>
        <v>0.75</v>
      </c>
      <c r="BP114" s="7" t="n">
        <f aca="false">VLOOKUP($E114,Role!$A$2:$O$9,9,0)</f>
        <v>0.75</v>
      </c>
      <c r="BQ114" s="7" t="n">
        <f aca="false">VLOOKUP($E114,Role!$A$2:$O$9,10,0)</f>
        <v>0.5</v>
      </c>
    </row>
    <row r="115" customFormat="false" ht="12.8" hidden="false" customHeight="false" outlineLevel="0" collapsed="false">
      <c r="B115" s="2" t="n">
        <v>5</v>
      </c>
      <c r="C115" s="3" t="s">
        <v>63</v>
      </c>
      <c r="D115" s="1" t="s">
        <v>82</v>
      </c>
      <c r="E115" s="1" t="s">
        <v>70</v>
      </c>
      <c r="F115" s="1" t="s">
        <v>92</v>
      </c>
      <c r="G115" s="1" t="s">
        <v>80</v>
      </c>
      <c r="H115" s="4" t="n">
        <f aca="false">VLOOKUP($D115,Size!$A$2:$Z$14,6,0)</f>
        <v>-1</v>
      </c>
      <c r="I115" s="13" t="n">
        <f aca="false">INT(($B115*$AZ115*$AX115*$BA115)+($B115*$AY115))</f>
        <v>4</v>
      </c>
      <c r="J115" s="4" t="n">
        <f aca="false">ROUND((($B115*$AT115)+($AV115*$AU115))*$AW115,0)</f>
        <v>2</v>
      </c>
      <c r="K115" s="4" t="n">
        <f aca="false">ROUND((($B115*$AP115)+($B115*$AQ115))*$AS115,0)</f>
        <v>2</v>
      </c>
      <c r="L115" s="4" t="n">
        <f aca="false">ROUND((($B115*$AM115)+($B115*$AN115))*$AO115,0)</f>
        <v>2</v>
      </c>
      <c r="M115" s="4" t="n">
        <f aca="false">ROUND((($B115*$AG115)+($B115*$AH115))*$AI115,0)</f>
        <v>2</v>
      </c>
      <c r="N115" s="4" t="n">
        <f aca="false">ROUND((($B115*$AJ115)+($B115*$AK115))*$AL115,0)</f>
        <v>2</v>
      </c>
      <c r="O115" s="4" t="n">
        <f aca="false">INT($BO115*$B115)</f>
        <v>3</v>
      </c>
      <c r="P115" s="4" t="n">
        <f aca="false">INT($BP115*$B115)</f>
        <v>3</v>
      </c>
      <c r="Q115" s="4" t="n">
        <f aca="false">INT($BQ115*$B115*$AR115)</f>
        <v>1</v>
      </c>
      <c r="R115" s="4" t="n">
        <f aca="false">IF($R$1="WT/G",INT(POWER($BH115*$BJ115*$BI115,0.333333)),0)+IF($R$1="WT/A",INT(($BH115+$BJ115+$BI115)/3),0)+IF($R$1="WT/A2",INT(($BJ115+$BI115)/2),0)+IF($R$1="WT/W",INT(($BH115+$BJ115+$BJ115+$BI115)/4),0)+IF($R$1="WT/W2",INT(($BH115+$BJ115+$BI115+$BI115)/4),0)+IF($R$1="WT/N",INT(MIN($BH115,$BJ115,$BI115)),0)+IF($R$1="WT/M",INT(MAX($BH115,$BJ115,$BI115)),0)+IF($R$1="WT/1",INT($BH115),0)+IF($R$1="WT/2",INT($BI115),0)+IF($R$1="WT/3",INT($BJ115),0)</f>
        <v>14</v>
      </c>
      <c r="S115" s="4" t="n">
        <f aca="false">INT((10+$M115)*$BL115)</f>
        <v>15</v>
      </c>
      <c r="T115" s="4" t="n">
        <f aca="false">INT($I115*$BM115*$BF115)</f>
        <v>2</v>
      </c>
      <c r="U115" s="2" t="n">
        <f aca="false">ROUND(MAX($J115,$L115)+(MIN($J115,$L115)*$X115),0)</f>
        <v>4</v>
      </c>
      <c r="V115" s="2" t="n">
        <f aca="false">MAX(1,INT(((MIN($I115:$J115)+(MAX($I115:$J115)*$H115*$Y115)))*$Z115))</f>
        <v>1</v>
      </c>
      <c r="X115" s="5" t="n">
        <f aca="false">VLOOKUP($E115,Role!$A$2:$O$9,14,0)</f>
        <v>1</v>
      </c>
      <c r="Y115" s="5" t="n">
        <f aca="false">VLOOKUP($E115,Role!$A$2:$O$9,15,0)</f>
        <v>1</v>
      </c>
      <c r="Z115" s="5" t="n">
        <f aca="false">VLOOKUP($G115,Movement!$A$2:$C$7,3,0)</f>
        <v>1.5</v>
      </c>
      <c r="AB115" s="5" t="n">
        <f aca="false">INT(5+(($H115-1)/3))</f>
        <v>4</v>
      </c>
      <c r="AC115" s="5" t="n">
        <f aca="false">IF($AB115&lt;$I115,$I115-MAX($AB115,$B115),0)</f>
        <v>0</v>
      </c>
      <c r="AD115" s="5" t="n">
        <f aca="false">(5-ROUND(($H115-1)/3,0))</f>
        <v>6</v>
      </c>
      <c r="AE115" s="5" t="n">
        <f aca="false">IF($AD115&lt;$J115,$J115-MAX($AD115,$B115),0)</f>
        <v>0</v>
      </c>
      <c r="AG115" s="6" t="n">
        <f aca="false">VLOOKUP($F115,Category!$A$2:$AZ$20,24,0)</f>
        <v>0.111111111111111</v>
      </c>
      <c r="AH115" s="6" t="n">
        <f aca="false">VLOOKUP($F115,Category!$A$2:$AZ$20,26,0)</f>
        <v>0.444444444444444</v>
      </c>
      <c r="AI115" s="6" t="n">
        <f aca="false">VLOOKUP($E115,Role!$A$2:$O$9,6,0)</f>
        <v>0.666</v>
      </c>
      <c r="AJ115" s="6" t="n">
        <f aca="false">VLOOKUP($F115,Category!$A$2:$AZ$20,19,0)</f>
        <v>0.0909090909090909</v>
      </c>
      <c r="AK115" s="6" t="n">
        <f aca="false">VLOOKUP($F115,Category!$A$2:$AZ$20,21,0)</f>
        <v>0.545454545454545</v>
      </c>
      <c r="AL115" s="6" t="n">
        <f aca="false">VLOOKUP($E115,Role!$A$2:$O$9,7,0)</f>
        <v>0.666</v>
      </c>
      <c r="AM115" s="6" t="n">
        <f aca="false">VLOOKUP($F115,Category!$A$2:$AZ$20,19,0)</f>
        <v>0.0909090909090909</v>
      </c>
      <c r="AN115" s="6" t="n">
        <f aca="false">VLOOKUP($F115,Category!$A$2:$AZ$20,21,0)</f>
        <v>0.545454545454545</v>
      </c>
      <c r="AO115" s="6" t="n">
        <f aca="false">VLOOKUP($E115,Role!$A$2:$O$9,5,0)</f>
        <v>0.666</v>
      </c>
      <c r="AP115" s="6" t="n">
        <f aca="false">VLOOKUP($F115,Category!$A$2:$AZ$20,9,0)</f>
        <v>0.222222222222222</v>
      </c>
      <c r="AQ115" s="6" t="n">
        <f aca="false">VLOOKUP($F115,Category!$A$2:$AZ$20,11,0)</f>
        <v>0.444444444444444</v>
      </c>
      <c r="AR115" s="6" t="n">
        <f aca="false">VLOOKUP($F115,Category!$A$2:$AZ$20,10,0)</f>
        <v>0.666666666666667</v>
      </c>
      <c r="AS115" s="6" t="n">
        <f aca="false">VLOOKUP($E115,Role!$A$2:$O$9,4,0)</f>
        <v>0.666</v>
      </c>
      <c r="AT115" s="7" t="n">
        <f aca="false">VLOOKUP($F115,Category!$A$2:$AZ$20,14,0)</f>
        <v>0.416666666666667</v>
      </c>
      <c r="AU115" s="7" t="n">
        <f aca="false">VLOOKUP($F115,Category!$A$2:$AZ$20,16,0)</f>
        <v>0.25</v>
      </c>
      <c r="AV115" s="7" t="n">
        <f aca="false">VLOOKUP($D115,Size!$A$2:$Z$14,17,0)</f>
        <v>3</v>
      </c>
      <c r="AW115" s="7" t="n">
        <f aca="false">VLOOKUP($E115,Role!$A$2:$O$9,3,0)</f>
        <v>0.666</v>
      </c>
      <c r="AX115" s="7" t="n">
        <f aca="false">VLOOKUP($F115,Category!$A$2:$AZ$20,29,0)</f>
        <v>0.333333333333333</v>
      </c>
      <c r="AY115" s="7" t="n">
        <f aca="false">VLOOKUP($F115,Category!$A$2:$AZ$20,31,0)</f>
        <v>0.444444444444444</v>
      </c>
      <c r="AZ115" s="7" t="n">
        <f aca="false">VLOOKUP($D115,Size!$A$2:$Z$14,16,0)</f>
        <v>2</v>
      </c>
      <c r="BA115" s="7" t="n">
        <f aca="false">VLOOKUP($E115,Role!$A$2:$O$9,2,0)</f>
        <v>0.666</v>
      </c>
      <c r="BC115" s="7" t="n">
        <f aca="false">VLOOKUP($D115,Size!$A$2:$Z$14,19,0)</f>
        <v>8</v>
      </c>
      <c r="BD115" s="7" t="n">
        <f aca="false">VLOOKUP($D115,Size!$A$2:$Z$14,20,0)</f>
        <v>0.66</v>
      </c>
      <c r="BE115" s="7" t="n">
        <f aca="false">VLOOKUP($E115,Role!$A$2:$O$9,12,0)</f>
        <v>1.25</v>
      </c>
      <c r="BF115" s="7" t="n">
        <f aca="false">VLOOKUP($C115,Type!$A$2:$B$4,2,0)</f>
        <v>1</v>
      </c>
      <c r="BG115" s="7" t="n">
        <f aca="false">VLOOKUP($D115,Size!$A$2:$Z$14,18,0)</f>
        <v>8.28567304322775</v>
      </c>
      <c r="BH115" s="7" t="n">
        <f aca="false">INT($BF115*$BG115*$BE115*$B115/2)</f>
        <v>25</v>
      </c>
      <c r="BI115" s="7" t="n">
        <f aca="false">INT(($BC115*$BF115)+($I115*$BD115))</f>
        <v>10</v>
      </c>
      <c r="BJ115" s="7" t="n">
        <f aca="false">INT((($I115*$BE115)+$BC115)*$BF115)</f>
        <v>13</v>
      </c>
      <c r="BK115" s="14"/>
      <c r="BL115" s="7" t="n">
        <f aca="false">VLOOKUP($E115,Role!$A$2:$O$9,13,0)</f>
        <v>1.25</v>
      </c>
      <c r="BM115" s="7" t="n">
        <f aca="false">VLOOKUP($E115,Role!$A$2:$O$9,11,0)</f>
        <v>0.666</v>
      </c>
      <c r="BO115" s="7" t="n">
        <f aca="false">VLOOKUP($E115,Role!$A$2:$O$9,8,0)</f>
        <v>0.75</v>
      </c>
      <c r="BP115" s="7" t="n">
        <f aca="false">VLOOKUP($E115,Role!$A$2:$O$9,9,0)</f>
        <v>0.75</v>
      </c>
      <c r="BQ115" s="7" t="n">
        <f aca="false">VLOOKUP($E115,Role!$A$2:$O$9,10,0)</f>
        <v>0.5</v>
      </c>
    </row>
    <row r="116" customFormat="false" ht="12.8" hidden="false" customHeight="false" outlineLevel="0" collapsed="false">
      <c r="B116" s="2" t="n">
        <v>5</v>
      </c>
      <c r="C116" s="3" t="s">
        <v>63</v>
      </c>
      <c r="D116" s="1" t="s">
        <v>83</v>
      </c>
      <c r="E116" s="1" t="s">
        <v>70</v>
      </c>
      <c r="F116" s="1" t="s">
        <v>92</v>
      </c>
      <c r="G116" s="1" t="s">
        <v>80</v>
      </c>
      <c r="H116" s="4" t="n">
        <f aca="false">VLOOKUP($D116,Size!$A$2:$Z$14,6,0)</f>
        <v>0</v>
      </c>
      <c r="I116" s="13" t="n">
        <f aca="false">INT(($B116*$AZ116*$AX116*$BA116)+($B116*$AY116))</f>
        <v>4</v>
      </c>
      <c r="J116" s="4" t="n">
        <f aca="false">ROUND((($B116*$AT116)+($AV116*$AU116))*$AW116,0)</f>
        <v>2</v>
      </c>
      <c r="K116" s="4" t="n">
        <f aca="false">ROUND((($B116*$AP116)+($B116*$AQ116))*$AS116,0)</f>
        <v>2</v>
      </c>
      <c r="L116" s="4" t="n">
        <f aca="false">ROUND((($B116*$AM116)+($B116*$AN116))*$AO116,0)</f>
        <v>2</v>
      </c>
      <c r="M116" s="4" t="n">
        <f aca="false">ROUND((($B116*$AG116)+($B116*$AH116))*$AI116,0)</f>
        <v>2</v>
      </c>
      <c r="N116" s="4" t="n">
        <f aca="false">ROUND((($B116*$AJ116)+($B116*$AK116))*$AL116,0)</f>
        <v>2</v>
      </c>
      <c r="O116" s="4" t="n">
        <f aca="false">INT($BO116*$B116)</f>
        <v>3</v>
      </c>
      <c r="P116" s="4" t="n">
        <f aca="false">INT($BP116*$B116)</f>
        <v>3</v>
      </c>
      <c r="Q116" s="4" t="n">
        <f aca="false">INT($BQ116*$B116*$AR116)</f>
        <v>1</v>
      </c>
      <c r="R116" s="4" t="n">
        <f aca="false">IF($R$1="WT/G",INT(POWER($BH116*$BJ116*$BI116,0.333333)),0)+IF($R$1="WT/A",INT(($BH116+$BJ116+$BI116)/3),0)+IF($R$1="WT/A2",INT(($BJ116+$BI116)/2),0)+IF($R$1="WT/W",INT(($BH116+$BJ116+$BJ116+$BI116)/4),0)+IF($R$1="WT/W2",INT(($BH116+$BJ116+$BI116+$BI116)/4),0)+IF($R$1="WT/N",INT(MIN($BH116,$BJ116,$BI116)),0)+IF($R$1="WT/M",INT(MAX($BH116,$BJ116,$BI116)),0)+IF($R$1="WT/1",INT($BH116),0)+IF($R$1="WT/2",INT($BI116),0)+IF($R$1="WT/3",INT($BJ116),0)</f>
        <v>17</v>
      </c>
      <c r="S116" s="4" t="n">
        <f aca="false">INT((10+$M116)*$BL116)</f>
        <v>15</v>
      </c>
      <c r="T116" s="4" t="n">
        <f aca="false">INT($I116*$BM116*$BF116)</f>
        <v>2</v>
      </c>
      <c r="U116" s="2" t="n">
        <f aca="false">ROUND(MAX($J116,$L116)+(MIN($J116,$L116)*$X116),0)</f>
        <v>4</v>
      </c>
      <c r="V116" s="2" t="n">
        <f aca="false">MAX(1,INT(((MIN($I116:$J116)+(MAX($I116:$J116)*$H116*$Y116)))*$Z116))</f>
        <v>3</v>
      </c>
      <c r="X116" s="5" t="n">
        <f aca="false">VLOOKUP($E116,Role!$A$2:$O$9,14,0)</f>
        <v>1</v>
      </c>
      <c r="Y116" s="5" t="n">
        <f aca="false">VLOOKUP($E116,Role!$A$2:$O$9,15,0)</f>
        <v>1</v>
      </c>
      <c r="Z116" s="5" t="n">
        <f aca="false">VLOOKUP($G116,Movement!$A$2:$C$7,3,0)</f>
        <v>1.5</v>
      </c>
      <c r="AB116" s="5" t="n">
        <f aca="false">INT(5+(($H116-1)/3))</f>
        <v>4</v>
      </c>
      <c r="AC116" s="5" t="n">
        <f aca="false">IF($AB116&lt;$I116,$I116-MAX($AB116,$B116),0)</f>
        <v>0</v>
      </c>
      <c r="AD116" s="5" t="n">
        <f aca="false">(5-ROUND(($H116-1)/3,0))</f>
        <v>5</v>
      </c>
      <c r="AE116" s="5" t="n">
        <f aca="false">IF($AD116&lt;$J116,$J116-MAX($AD116,$B116),0)</f>
        <v>0</v>
      </c>
      <c r="AG116" s="6" t="n">
        <f aca="false">VLOOKUP($F116,Category!$A$2:$AZ$20,24,0)</f>
        <v>0.111111111111111</v>
      </c>
      <c r="AH116" s="6" t="n">
        <f aca="false">VLOOKUP($F116,Category!$A$2:$AZ$20,26,0)</f>
        <v>0.444444444444444</v>
      </c>
      <c r="AI116" s="6" t="n">
        <f aca="false">VLOOKUP($E116,Role!$A$2:$O$9,6,0)</f>
        <v>0.666</v>
      </c>
      <c r="AJ116" s="6" t="n">
        <f aca="false">VLOOKUP($F116,Category!$A$2:$AZ$20,19,0)</f>
        <v>0.0909090909090909</v>
      </c>
      <c r="AK116" s="6" t="n">
        <f aca="false">VLOOKUP($F116,Category!$A$2:$AZ$20,21,0)</f>
        <v>0.545454545454545</v>
      </c>
      <c r="AL116" s="6" t="n">
        <f aca="false">VLOOKUP($E116,Role!$A$2:$O$9,7,0)</f>
        <v>0.666</v>
      </c>
      <c r="AM116" s="6" t="n">
        <f aca="false">VLOOKUP($F116,Category!$A$2:$AZ$20,19,0)</f>
        <v>0.0909090909090909</v>
      </c>
      <c r="AN116" s="6" t="n">
        <f aca="false">VLOOKUP($F116,Category!$A$2:$AZ$20,21,0)</f>
        <v>0.545454545454545</v>
      </c>
      <c r="AO116" s="6" t="n">
        <f aca="false">VLOOKUP($E116,Role!$A$2:$O$9,5,0)</f>
        <v>0.666</v>
      </c>
      <c r="AP116" s="6" t="n">
        <f aca="false">VLOOKUP($F116,Category!$A$2:$AZ$20,9,0)</f>
        <v>0.222222222222222</v>
      </c>
      <c r="AQ116" s="6" t="n">
        <f aca="false">VLOOKUP($F116,Category!$A$2:$AZ$20,11,0)</f>
        <v>0.444444444444444</v>
      </c>
      <c r="AR116" s="6" t="n">
        <f aca="false">VLOOKUP($F116,Category!$A$2:$AZ$20,10,0)</f>
        <v>0.666666666666667</v>
      </c>
      <c r="AS116" s="6" t="n">
        <f aca="false">VLOOKUP($E116,Role!$A$2:$O$9,4,0)</f>
        <v>0.666</v>
      </c>
      <c r="AT116" s="7" t="n">
        <f aca="false">VLOOKUP($F116,Category!$A$2:$AZ$20,14,0)</f>
        <v>0.416666666666667</v>
      </c>
      <c r="AU116" s="7" t="n">
        <f aca="false">VLOOKUP($F116,Category!$A$2:$AZ$20,16,0)</f>
        <v>0.25</v>
      </c>
      <c r="AV116" s="7" t="n">
        <f aca="false">VLOOKUP($D116,Size!$A$2:$Z$14,17,0)</f>
        <v>3</v>
      </c>
      <c r="AW116" s="7" t="n">
        <f aca="false">VLOOKUP($E116,Role!$A$2:$O$9,3,0)</f>
        <v>0.666</v>
      </c>
      <c r="AX116" s="7" t="n">
        <f aca="false">VLOOKUP($F116,Category!$A$2:$AZ$20,29,0)</f>
        <v>0.333333333333333</v>
      </c>
      <c r="AY116" s="7" t="n">
        <f aca="false">VLOOKUP($F116,Category!$A$2:$AZ$20,31,0)</f>
        <v>0.444444444444444</v>
      </c>
      <c r="AZ116" s="7" t="n">
        <f aca="false">VLOOKUP($D116,Size!$A$2:$Z$14,16,0)</f>
        <v>2</v>
      </c>
      <c r="BA116" s="7" t="n">
        <f aca="false">VLOOKUP($E116,Role!$A$2:$O$9,2,0)</f>
        <v>0.666</v>
      </c>
      <c r="BC116" s="7" t="n">
        <f aca="false">VLOOKUP($D116,Size!$A$2:$Z$14,19,0)</f>
        <v>9</v>
      </c>
      <c r="BD116" s="7" t="n">
        <f aca="false">VLOOKUP($D116,Size!$A$2:$Z$14,20,0)</f>
        <v>0.75</v>
      </c>
      <c r="BE116" s="7" t="n">
        <f aca="false">VLOOKUP($E116,Role!$A$2:$O$9,12,0)</f>
        <v>1.25</v>
      </c>
      <c r="BF116" s="7" t="n">
        <f aca="false">VLOOKUP($C116,Type!$A$2:$B$4,2,0)</f>
        <v>1</v>
      </c>
      <c r="BG116" s="7" t="n">
        <f aca="false">VLOOKUP($D116,Size!$A$2:$Z$14,18,0)</f>
        <v>10.0928271821888</v>
      </c>
      <c r="BH116" s="7" t="n">
        <f aca="false">INT($BF116*$BG116*$BE116*$B116/2)</f>
        <v>31</v>
      </c>
      <c r="BI116" s="7" t="n">
        <f aca="false">INT(($BC116*$BF116)+($I116*$BD116))</f>
        <v>12</v>
      </c>
      <c r="BJ116" s="7" t="n">
        <f aca="false">INT((($I116*$BE116)+$BC116)*$BF116)</f>
        <v>14</v>
      </c>
      <c r="BK116" s="14"/>
      <c r="BL116" s="7" t="n">
        <f aca="false">VLOOKUP($E116,Role!$A$2:$O$9,13,0)</f>
        <v>1.25</v>
      </c>
      <c r="BM116" s="7" t="n">
        <f aca="false">VLOOKUP($E116,Role!$A$2:$O$9,11,0)</f>
        <v>0.666</v>
      </c>
      <c r="BO116" s="7" t="n">
        <f aca="false">VLOOKUP($E116,Role!$A$2:$O$9,8,0)</f>
        <v>0.75</v>
      </c>
      <c r="BP116" s="7" t="n">
        <f aca="false">VLOOKUP($E116,Role!$A$2:$O$9,9,0)</f>
        <v>0.75</v>
      </c>
      <c r="BQ116" s="7" t="n">
        <f aca="false">VLOOKUP($E116,Role!$A$2:$O$9,10,0)</f>
        <v>0.5</v>
      </c>
    </row>
    <row r="117" customFormat="false" ht="12.8" hidden="false" customHeight="false" outlineLevel="0" collapsed="false">
      <c r="B117" s="2" t="n">
        <v>5</v>
      </c>
      <c r="C117" s="3" t="s">
        <v>63</v>
      </c>
      <c r="D117" s="1" t="s">
        <v>64</v>
      </c>
      <c r="E117" s="1" t="s">
        <v>70</v>
      </c>
      <c r="F117" s="1" t="s">
        <v>92</v>
      </c>
      <c r="G117" s="1" t="s">
        <v>80</v>
      </c>
      <c r="H117" s="4" t="n">
        <f aca="false">VLOOKUP($D117,Size!$A$2:$Z$14,6,0)</f>
        <v>1</v>
      </c>
      <c r="I117" s="13" t="n">
        <f aca="false">INT(($B117*$AZ117*$AX117*$BA117)+($B117*$AY117))</f>
        <v>5</v>
      </c>
      <c r="J117" s="4" t="n">
        <f aca="false">ROUND((($B117*$AT117)+($AV117*$AU117))*$AW117,0)</f>
        <v>2</v>
      </c>
      <c r="K117" s="4" t="n">
        <f aca="false">ROUND((($B117*$AP117)+($B117*$AQ117))*$AS117,0)</f>
        <v>2</v>
      </c>
      <c r="L117" s="4" t="n">
        <f aca="false">ROUND((($B117*$AM117)+($B117*$AN117))*$AO117,0)</f>
        <v>2</v>
      </c>
      <c r="M117" s="4" t="n">
        <f aca="false">ROUND((($B117*$AG117)+($B117*$AH117))*$AI117,0)</f>
        <v>2</v>
      </c>
      <c r="N117" s="4" t="n">
        <f aca="false">ROUND((($B117*$AJ117)+($B117*$AK117))*$AL117,0)</f>
        <v>2</v>
      </c>
      <c r="O117" s="4" t="n">
        <f aca="false">INT($BO117*$B117)</f>
        <v>3</v>
      </c>
      <c r="P117" s="4" t="n">
        <f aca="false">INT($BP117*$B117)</f>
        <v>3</v>
      </c>
      <c r="Q117" s="4" t="n">
        <f aca="false">INT($BQ117*$B117*$AR117)</f>
        <v>1</v>
      </c>
      <c r="R117" s="4" t="n">
        <f aca="false">IF($R$1="WT/G",INT(POWER($BH117*$BJ117*$BI117,0.333333)),0)+IF($R$1="WT/A",INT(($BH117+$BJ117+$BI117)/3),0)+IF($R$1="WT/A2",INT(($BJ117+$BI117)/2),0)+IF($R$1="WT/W",INT(($BH117+$BJ117+$BJ117+$BI117)/4),0)+IF($R$1="WT/W2",INT(($BH117+$BJ117+$BI117+$BI117)/4),0)+IF($R$1="WT/N",INT(MIN($BH117,$BJ117,$BI117)),0)+IF($R$1="WT/M",INT(MAX($BH117,$BJ117,$BI117)),0)+IF($R$1="WT/1",INT($BH117),0)+IF($R$1="WT/2",INT($BI117),0)+IF($R$1="WT/3",INT($BJ117),0)</f>
        <v>21</v>
      </c>
      <c r="S117" s="4" t="n">
        <f aca="false">INT((10+$M117)*$BL117)</f>
        <v>15</v>
      </c>
      <c r="T117" s="4" t="n">
        <f aca="false">INT($I117*$BM117*$BF117)</f>
        <v>3</v>
      </c>
      <c r="U117" s="2" t="n">
        <f aca="false">ROUND(MAX($J117,$L117)+(MIN($J117,$L117)*$X117),0)</f>
        <v>4</v>
      </c>
      <c r="V117" s="2" t="n">
        <f aca="false">MAX(1,INT(((MIN($I117:$J117)+(MAX($I117:$J117)*$H117*$Y117)))*$Z117))</f>
        <v>10</v>
      </c>
      <c r="X117" s="5" t="n">
        <f aca="false">VLOOKUP($E117,Role!$A$2:$O$9,14,0)</f>
        <v>1</v>
      </c>
      <c r="Y117" s="5" t="n">
        <f aca="false">VLOOKUP($E117,Role!$A$2:$O$9,15,0)</f>
        <v>1</v>
      </c>
      <c r="Z117" s="5" t="n">
        <f aca="false">VLOOKUP($G117,Movement!$A$2:$C$7,3,0)</f>
        <v>1.5</v>
      </c>
      <c r="AB117" s="5" t="n">
        <f aca="false">INT(5+(($H117-1)/3))</f>
        <v>5</v>
      </c>
      <c r="AC117" s="5" t="n">
        <f aca="false">IF($AB117&lt;$I117,$I117-MAX($AB117,$B117),0)</f>
        <v>0</v>
      </c>
      <c r="AD117" s="5" t="n">
        <f aca="false">(5-ROUND(($H117-1)/3,0))</f>
        <v>5</v>
      </c>
      <c r="AE117" s="5" t="n">
        <f aca="false">IF($AD117&lt;$J117,$J117-MAX($AD117,$B117),0)</f>
        <v>0</v>
      </c>
      <c r="AG117" s="6" t="n">
        <f aca="false">VLOOKUP($F117,Category!$A$2:$AZ$20,24,0)</f>
        <v>0.111111111111111</v>
      </c>
      <c r="AH117" s="6" t="n">
        <f aca="false">VLOOKUP($F117,Category!$A$2:$AZ$20,26,0)</f>
        <v>0.444444444444444</v>
      </c>
      <c r="AI117" s="6" t="n">
        <f aca="false">VLOOKUP($E117,Role!$A$2:$O$9,6,0)</f>
        <v>0.666</v>
      </c>
      <c r="AJ117" s="6" t="n">
        <f aca="false">VLOOKUP($F117,Category!$A$2:$AZ$20,19,0)</f>
        <v>0.0909090909090909</v>
      </c>
      <c r="AK117" s="6" t="n">
        <f aca="false">VLOOKUP($F117,Category!$A$2:$AZ$20,21,0)</f>
        <v>0.545454545454545</v>
      </c>
      <c r="AL117" s="6" t="n">
        <f aca="false">VLOOKUP($E117,Role!$A$2:$O$9,7,0)</f>
        <v>0.666</v>
      </c>
      <c r="AM117" s="6" t="n">
        <f aca="false">VLOOKUP($F117,Category!$A$2:$AZ$20,19,0)</f>
        <v>0.0909090909090909</v>
      </c>
      <c r="AN117" s="6" t="n">
        <f aca="false">VLOOKUP($F117,Category!$A$2:$AZ$20,21,0)</f>
        <v>0.545454545454545</v>
      </c>
      <c r="AO117" s="6" t="n">
        <f aca="false">VLOOKUP($E117,Role!$A$2:$O$9,5,0)</f>
        <v>0.666</v>
      </c>
      <c r="AP117" s="6" t="n">
        <f aca="false">VLOOKUP($F117,Category!$A$2:$AZ$20,9,0)</f>
        <v>0.222222222222222</v>
      </c>
      <c r="AQ117" s="6" t="n">
        <f aca="false">VLOOKUP($F117,Category!$A$2:$AZ$20,11,0)</f>
        <v>0.444444444444444</v>
      </c>
      <c r="AR117" s="6" t="n">
        <f aca="false">VLOOKUP($F117,Category!$A$2:$AZ$20,10,0)</f>
        <v>0.666666666666667</v>
      </c>
      <c r="AS117" s="6" t="n">
        <f aca="false">VLOOKUP($E117,Role!$A$2:$O$9,4,0)</f>
        <v>0.666</v>
      </c>
      <c r="AT117" s="7" t="n">
        <f aca="false">VLOOKUP($F117,Category!$A$2:$AZ$20,14,0)</f>
        <v>0.416666666666667</v>
      </c>
      <c r="AU117" s="7" t="n">
        <f aca="false">VLOOKUP($F117,Category!$A$2:$AZ$20,16,0)</f>
        <v>0.25</v>
      </c>
      <c r="AV117" s="7" t="n">
        <f aca="false">VLOOKUP($D117,Size!$A$2:$Z$14,17,0)</f>
        <v>3</v>
      </c>
      <c r="AW117" s="7" t="n">
        <f aca="false">VLOOKUP($E117,Role!$A$2:$O$9,3,0)</f>
        <v>0.666</v>
      </c>
      <c r="AX117" s="7" t="n">
        <f aca="false">VLOOKUP($F117,Category!$A$2:$AZ$20,29,0)</f>
        <v>0.333333333333333</v>
      </c>
      <c r="AY117" s="7" t="n">
        <f aca="false">VLOOKUP($F117,Category!$A$2:$AZ$20,31,0)</f>
        <v>0.444444444444444</v>
      </c>
      <c r="AZ117" s="7" t="n">
        <f aca="false">VLOOKUP($D117,Size!$A$2:$Z$14,16,0)</f>
        <v>3</v>
      </c>
      <c r="BA117" s="7" t="n">
        <f aca="false">VLOOKUP($E117,Role!$A$2:$O$9,2,0)</f>
        <v>0.666</v>
      </c>
      <c r="BC117" s="7" t="n">
        <f aca="false">VLOOKUP($D117,Size!$A$2:$Z$14,19,0)</f>
        <v>10</v>
      </c>
      <c r="BD117" s="7" t="n">
        <f aca="false">VLOOKUP($D117,Size!$A$2:$Z$14,20,0)</f>
        <v>1</v>
      </c>
      <c r="BE117" s="7" t="n">
        <f aca="false">VLOOKUP($E117,Role!$A$2:$O$9,12,0)</f>
        <v>1.25</v>
      </c>
      <c r="BF117" s="7" t="n">
        <f aca="false">VLOOKUP($C117,Type!$A$2:$B$4,2,0)</f>
        <v>1</v>
      </c>
      <c r="BG117" s="7" t="n">
        <f aca="false">VLOOKUP($D117,Size!$A$2:$Z$14,18,0)</f>
        <v>13</v>
      </c>
      <c r="BH117" s="7" t="n">
        <f aca="false">INT($BF117*$BG117*$BE117*$B117/2)</f>
        <v>40</v>
      </c>
      <c r="BI117" s="7" t="n">
        <f aca="false">INT(($BC117*$BF117)+($I117*$BD117))</f>
        <v>15</v>
      </c>
      <c r="BJ117" s="7" t="n">
        <f aca="false">INT((($I117*$BE117)+$BC117)*$BF117)</f>
        <v>16</v>
      </c>
      <c r="BK117" s="14"/>
      <c r="BL117" s="7" t="n">
        <f aca="false">VLOOKUP($E117,Role!$A$2:$O$9,13,0)</f>
        <v>1.25</v>
      </c>
      <c r="BM117" s="7" t="n">
        <f aca="false">VLOOKUP($E117,Role!$A$2:$O$9,11,0)</f>
        <v>0.666</v>
      </c>
      <c r="BO117" s="7" t="n">
        <f aca="false">VLOOKUP($E117,Role!$A$2:$O$9,8,0)</f>
        <v>0.75</v>
      </c>
      <c r="BP117" s="7" t="n">
        <f aca="false">VLOOKUP($E117,Role!$A$2:$O$9,9,0)</f>
        <v>0.75</v>
      </c>
      <c r="BQ117" s="7" t="n">
        <f aca="false">VLOOKUP($E117,Role!$A$2:$O$9,10,0)</f>
        <v>0.5</v>
      </c>
    </row>
    <row r="118" customFormat="false" ht="12.8" hidden="false" customHeight="false" outlineLevel="0" collapsed="false">
      <c r="B118" s="2" t="n">
        <v>5</v>
      </c>
      <c r="C118" s="3" t="s">
        <v>63</v>
      </c>
      <c r="D118" s="1" t="s">
        <v>84</v>
      </c>
      <c r="E118" s="1" t="s">
        <v>70</v>
      </c>
      <c r="F118" s="1" t="s">
        <v>92</v>
      </c>
      <c r="G118" s="1" t="s">
        <v>80</v>
      </c>
      <c r="H118" s="4" t="n">
        <f aca="false">VLOOKUP($D118,Size!$A$2:$Z$14,6,0)</f>
        <v>2</v>
      </c>
      <c r="I118" s="13" t="n">
        <f aca="false">INT(($B118*$AZ118*$AX118*$BA118)+($B118*$AY118))</f>
        <v>5</v>
      </c>
      <c r="J118" s="4" t="n">
        <f aca="false">ROUND((($B118*$AT118)+($AV118*$AU118))*$AW118,0)</f>
        <v>2</v>
      </c>
      <c r="K118" s="4" t="n">
        <f aca="false">ROUND((($B118*$AP118)+($B118*$AQ118))*$AS118,0)</f>
        <v>2</v>
      </c>
      <c r="L118" s="4" t="n">
        <f aca="false">ROUND((($B118*$AM118)+($B118*$AN118))*$AO118,0)</f>
        <v>2</v>
      </c>
      <c r="M118" s="4" t="n">
        <f aca="false">ROUND((($B118*$AG118)+($B118*$AH118))*$AI118,0)</f>
        <v>2</v>
      </c>
      <c r="N118" s="4" t="n">
        <f aca="false">ROUND((($B118*$AJ118)+($B118*$AK118))*$AL118,0)</f>
        <v>2</v>
      </c>
      <c r="O118" s="4" t="n">
        <f aca="false">INT($BO118*$B118)</f>
        <v>3</v>
      </c>
      <c r="P118" s="4" t="n">
        <f aca="false">INT($BP118*$B118)</f>
        <v>3</v>
      </c>
      <c r="Q118" s="4" t="n">
        <f aca="false">INT($BQ118*$B118*$AR118)</f>
        <v>1</v>
      </c>
      <c r="R118" s="4" t="n">
        <f aca="false">IF($R$1="WT/G",INT(POWER($BH118*$BJ118*$BI118,0.333333)),0)+IF($R$1="WT/A",INT(($BH118+$BJ118+$BI118)/3),0)+IF($R$1="WT/A2",INT(($BJ118+$BI118)/2),0)+IF($R$1="WT/W",INT(($BH118+$BJ118+$BJ118+$BI118)/4),0)+IF($R$1="WT/W2",INT(($BH118+$BJ118+$BI118+$BI118)/4),0)+IF($R$1="WT/N",INT(MIN($BH118,$BJ118,$BI118)),0)+IF($R$1="WT/M",INT(MAX($BH118,$BJ118,$BI118)),0)+IF($R$1="WT/1",INT($BH118),0)+IF($R$1="WT/2",INT($BI118),0)+IF($R$1="WT/3",INT($BJ118),0)</f>
        <v>26</v>
      </c>
      <c r="S118" s="4" t="n">
        <f aca="false">INT((10+$M118)*$BL118)</f>
        <v>15</v>
      </c>
      <c r="T118" s="4" t="n">
        <f aca="false">INT($I118*$BM118*$BF118)</f>
        <v>3</v>
      </c>
      <c r="U118" s="2" t="n">
        <f aca="false">ROUND(MAX($J118,$L118)+(MIN($J118,$L118)*$X118),0)</f>
        <v>4</v>
      </c>
      <c r="V118" s="2" t="n">
        <f aca="false">MAX(1,INT(((MIN($I118:$J118)+(MAX($I118:$J118)*$H118*$Y118)))*$Z118))</f>
        <v>18</v>
      </c>
      <c r="X118" s="5" t="n">
        <f aca="false">VLOOKUP($E118,Role!$A$2:$O$9,14,0)</f>
        <v>1</v>
      </c>
      <c r="Y118" s="5" t="n">
        <f aca="false">VLOOKUP($E118,Role!$A$2:$O$9,15,0)</f>
        <v>1</v>
      </c>
      <c r="Z118" s="5" t="n">
        <f aca="false">VLOOKUP($G118,Movement!$A$2:$C$7,3,0)</f>
        <v>1.5</v>
      </c>
      <c r="AB118" s="5" t="n">
        <f aca="false">INT(5+(($H118-1)/3))</f>
        <v>5</v>
      </c>
      <c r="AC118" s="5" t="n">
        <f aca="false">IF($AB118&lt;$I118,$I118-MAX($AB118,$B118),0)</f>
        <v>0</v>
      </c>
      <c r="AD118" s="5" t="n">
        <f aca="false">(5-ROUND(($H118-1)/3,0))</f>
        <v>5</v>
      </c>
      <c r="AE118" s="5" t="n">
        <f aca="false">IF($AD118&lt;$J118,$J118-MAX($AD118,$B118),0)</f>
        <v>0</v>
      </c>
      <c r="AG118" s="6" t="n">
        <f aca="false">VLOOKUP($F118,Category!$A$2:$AZ$20,24,0)</f>
        <v>0.111111111111111</v>
      </c>
      <c r="AH118" s="6" t="n">
        <f aca="false">VLOOKUP($F118,Category!$A$2:$AZ$20,26,0)</f>
        <v>0.444444444444444</v>
      </c>
      <c r="AI118" s="6" t="n">
        <f aca="false">VLOOKUP($E118,Role!$A$2:$O$9,6,0)</f>
        <v>0.666</v>
      </c>
      <c r="AJ118" s="6" t="n">
        <f aca="false">VLOOKUP($F118,Category!$A$2:$AZ$20,19,0)</f>
        <v>0.0909090909090909</v>
      </c>
      <c r="AK118" s="6" t="n">
        <f aca="false">VLOOKUP($F118,Category!$A$2:$AZ$20,21,0)</f>
        <v>0.545454545454545</v>
      </c>
      <c r="AL118" s="6" t="n">
        <f aca="false">VLOOKUP($E118,Role!$A$2:$O$9,7,0)</f>
        <v>0.666</v>
      </c>
      <c r="AM118" s="6" t="n">
        <f aca="false">VLOOKUP($F118,Category!$A$2:$AZ$20,19,0)</f>
        <v>0.0909090909090909</v>
      </c>
      <c r="AN118" s="6" t="n">
        <f aca="false">VLOOKUP($F118,Category!$A$2:$AZ$20,21,0)</f>
        <v>0.545454545454545</v>
      </c>
      <c r="AO118" s="6" t="n">
        <f aca="false">VLOOKUP($E118,Role!$A$2:$O$9,5,0)</f>
        <v>0.666</v>
      </c>
      <c r="AP118" s="6" t="n">
        <f aca="false">VLOOKUP($F118,Category!$A$2:$AZ$20,9,0)</f>
        <v>0.222222222222222</v>
      </c>
      <c r="AQ118" s="6" t="n">
        <f aca="false">VLOOKUP($F118,Category!$A$2:$AZ$20,11,0)</f>
        <v>0.444444444444444</v>
      </c>
      <c r="AR118" s="6" t="n">
        <f aca="false">VLOOKUP($F118,Category!$A$2:$AZ$20,10,0)</f>
        <v>0.666666666666667</v>
      </c>
      <c r="AS118" s="6" t="n">
        <f aca="false">VLOOKUP($E118,Role!$A$2:$O$9,4,0)</f>
        <v>0.666</v>
      </c>
      <c r="AT118" s="7" t="n">
        <f aca="false">VLOOKUP($F118,Category!$A$2:$AZ$20,14,0)</f>
        <v>0.416666666666667</v>
      </c>
      <c r="AU118" s="7" t="n">
        <f aca="false">VLOOKUP($F118,Category!$A$2:$AZ$20,16,0)</f>
        <v>0.25</v>
      </c>
      <c r="AV118" s="7" t="n">
        <f aca="false">VLOOKUP($D118,Size!$A$2:$Z$14,17,0)</f>
        <v>3</v>
      </c>
      <c r="AW118" s="7" t="n">
        <f aca="false">VLOOKUP($E118,Role!$A$2:$O$9,3,0)</f>
        <v>0.666</v>
      </c>
      <c r="AX118" s="7" t="n">
        <f aca="false">VLOOKUP($F118,Category!$A$2:$AZ$20,29,0)</f>
        <v>0.333333333333333</v>
      </c>
      <c r="AY118" s="7" t="n">
        <f aca="false">VLOOKUP($F118,Category!$A$2:$AZ$20,31,0)</f>
        <v>0.444444444444444</v>
      </c>
      <c r="AZ118" s="7" t="n">
        <f aca="false">VLOOKUP($D118,Size!$A$2:$Z$14,16,0)</f>
        <v>3</v>
      </c>
      <c r="BA118" s="7" t="n">
        <f aca="false">VLOOKUP($E118,Role!$A$2:$O$9,2,0)</f>
        <v>0.666</v>
      </c>
      <c r="BC118" s="7" t="n">
        <f aca="false">VLOOKUP($D118,Size!$A$2:$Z$14,19,0)</f>
        <v>12</v>
      </c>
      <c r="BD118" s="7" t="n">
        <f aca="false">VLOOKUP($D118,Size!$A$2:$Z$14,20,0)</f>
        <v>1.5</v>
      </c>
      <c r="BE118" s="7" t="n">
        <f aca="false">VLOOKUP($E118,Role!$A$2:$O$9,12,0)</f>
        <v>1.25</v>
      </c>
      <c r="BF118" s="7" t="n">
        <f aca="false">VLOOKUP($C118,Type!$A$2:$B$4,2,0)</f>
        <v>1</v>
      </c>
      <c r="BG118" s="7" t="n">
        <f aca="false">VLOOKUP($D118,Size!$A$2:$Z$14,18,0)</f>
        <v>16.2236679323423</v>
      </c>
      <c r="BH118" s="7" t="n">
        <f aca="false">INT($BF118*$BG118*$BE118*$B118/2)</f>
        <v>50</v>
      </c>
      <c r="BI118" s="7" t="n">
        <f aca="false">INT(($BC118*$BF118)+($I118*$BD118))</f>
        <v>19</v>
      </c>
      <c r="BJ118" s="7" t="n">
        <f aca="false">INT((($I118*$BE118)+$BC118)*$BF118)</f>
        <v>18</v>
      </c>
      <c r="BK118" s="14"/>
      <c r="BL118" s="7" t="n">
        <f aca="false">VLOOKUP($E118,Role!$A$2:$O$9,13,0)</f>
        <v>1.25</v>
      </c>
      <c r="BM118" s="7" t="n">
        <f aca="false">VLOOKUP($E118,Role!$A$2:$O$9,11,0)</f>
        <v>0.666</v>
      </c>
      <c r="BO118" s="7" t="n">
        <f aca="false">VLOOKUP($E118,Role!$A$2:$O$9,8,0)</f>
        <v>0.75</v>
      </c>
      <c r="BP118" s="7" t="n">
        <f aca="false">VLOOKUP($E118,Role!$A$2:$O$9,9,0)</f>
        <v>0.75</v>
      </c>
      <c r="BQ118" s="7" t="n">
        <f aca="false">VLOOKUP($E118,Role!$A$2:$O$9,10,0)</f>
        <v>0.5</v>
      </c>
    </row>
    <row r="119" customFormat="false" ht="12.8" hidden="false" customHeight="false" outlineLevel="0" collapsed="false">
      <c r="B119" s="2" t="n">
        <v>5</v>
      </c>
      <c r="C119" s="3" t="s">
        <v>63</v>
      </c>
      <c r="D119" s="1" t="s">
        <v>85</v>
      </c>
      <c r="E119" s="1" t="s">
        <v>70</v>
      </c>
      <c r="F119" s="1" t="s">
        <v>92</v>
      </c>
      <c r="G119" s="1" t="s">
        <v>80</v>
      </c>
      <c r="H119" s="4" t="n">
        <f aca="false">VLOOKUP($D119,Size!$A$2:$Z$14,6,0)</f>
        <v>3</v>
      </c>
      <c r="I119" s="13" t="n">
        <f aca="false">INT(($B119*$AZ119*$AX119*$BA119)+($B119*$AY119))</f>
        <v>6</v>
      </c>
      <c r="J119" s="4" t="n">
        <f aca="false">ROUND((($B119*$AT119)+($AV119*$AU119))*$AW119,0)</f>
        <v>2</v>
      </c>
      <c r="K119" s="4" t="n">
        <f aca="false">ROUND((($B119*$AP119)+($B119*$AQ119))*$AS119,0)</f>
        <v>2</v>
      </c>
      <c r="L119" s="4" t="n">
        <f aca="false">ROUND((($B119*$AM119)+($B119*$AN119))*$AO119,0)</f>
        <v>2</v>
      </c>
      <c r="M119" s="4" t="n">
        <f aca="false">ROUND((($B119*$AG119)+($B119*$AH119))*$AI119,0)</f>
        <v>2</v>
      </c>
      <c r="N119" s="4" t="n">
        <f aca="false">ROUND((($B119*$AJ119)+($B119*$AK119))*$AL119,0)</f>
        <v>2</v>
      </c>
      <c r="O119" s="4" t="n">
        <f aca="false">INT($BO119*$B119)</f>
        <v>3</v>
      </c>
      <c r="P119" s="4" t="n">
        <f aca="false">INT($BP119*$B119)</f>
        <v>3</v>
      </c>
      <c r="Q119" s="4" t="n">
        <f aca="false">INT($BQ119*$B119*$AR119)</f>
        <v>1</v>
      </c>
      <c r="R119" s="4" t="n">
        <f aca="false">IF($R$1="WT/G",INT(POWER($BH119*$BJ119*$BI119,0.333333)),0)+IF($R$1="WT/A",INT(($BH119+$BJ119+$BI119)/3),0)+IF($R$1="WT/A2",INT(($BJ119+$BI119)/2),0)+IF($R$1="WT/W",INT(($BH119+$BJ119+$BJ119+$BI119)/4),0)+IF($R$1="WT/W2",INT(($BH119+$BJ119+$BI119+$BI119)/4),0)+IF($R$1="WT/N",INT(MIN($BH119,$BJ119,$BI119)),0)+IF($R$1="WT/M",INT(MAX($BH119,$BJ119,$BI119)),0)+IF($R$1="WT/1",INT($BH119),0)+IF($R$1="WT/2",INT($BI119),0)+IF($R$1="WT/3",INT($BJ119),0)</f>
        <v>35</v>
      </c>
      <c r="S119" s="4" t="n">
        <f aca="false">INT((10+$M119)*$BL119)</f>
        <v>15</v>
      </c>
      <c r="T119" s="4" t="n">
        <f aca="false">INT($I119*$BM119*$BF119)</f>
        <v>3</v>
      </c>
      <c r="U119" s="2" t="n">
        <f aca="false">ROUND(MAX($J119,$L119)+(MIN($J119,$L119)*$X119),0)</f>
        <v>4</v>
      </c>
      <c r="V119" s="2" t="n">
        <f aca="false">MAX(1,INT(((MIN($I119:$J119)+(MAX($I119:$J119)*$H119*$Y119)))*$Z119))</f>
        <v>30</v>
      </c>
      <c r="X119" s="5" t="n">
        <f aca="false">VLOOKUP($E119,Role!$A$2:$O$9,14,0)</f>
        <v>1</v>
      </c>
      <c r="Y119" s="5" t="n">
        <f aca="false">VLOOKUP($E119,Role!$A$2:$O$9,15,0)</f>
        <v>1</v>
      </c>
      <c r="Z119" s="5" t="n">
        <f aca="false">VLOOKUP($G119,Movement!$A$2:$C$7,3,0)</f>
        <v>1.5</v>
      </c>
      <c r="AB119" s="5" t="n">
        <f aca="false">INT(5+(($H119-1)/3))</f>
        <v>5</v>
      </c>
      <c r="AC119" s="5" t="n">
        <f aca="false">IF($AB119&lt;$I119,$I119-MAX($AB119,$B119),0)</f>
        <v>1</v>
      </c>
      <c r="AD119" s="5" t="n">
        <f aca="false">(5-ROUND(($H119-1)/3,0))</f>
        <v>4</v>
      </c>
      <c r="AE119" s="5" t="n">
        <f aca="false">IF($AD119&lt;$J119,$J119-MAX($AD119,$B119),0)</f>
        <v>0</v>
      </c>
      <c r="AG119" s="6" t="n">
        <f aca="false">VLOOKUP($F119,Category!$A$2:$AZ$20,24,0)</f>
        <v>0.111111111111111</v>
      </c>
      <c r="AH119" s="6" t="n">
        <f aca="false">VLOOKUP($F119,Category!$A$2:$AZ$20,26,0)</f>
        <v>0.444444444444444</v>
      </c>
      <c r="AI119" s="6" t="n">
        <f aca="false">VLOOKUP($E119,Role!$A$2:$O$9,6,0)</f>
        <v>0.666</v>
      </c>
      <c r="AJ119" s="6" t="n">
        <f aca="false">VLOOKUP($F119,Category!$A$2:$AZ$20,19,0)</f>
        <v>0.0909090909090909</v>
      </c>
      <c r="AK119" s="6" t="n">
        <f aca="false">VLOOKUP($F119,Category!$A$2:$AZ$20,21,0)</f>
        <v>0.545454545454545</v>
      </c>
      <c r="AL119" s="6" t="n">
        <f aca="false">VLOOKUP($E119,Role!$A$2:$O$9,7,0)</f>
        <v>0.666</v>
      </c>
      <c r="AM119" s="6" t="n">
        <f aca="false">VLOOKUP($F119,Category!$A$2:$AZ$20,19,0)</f>
        <v>0.0909090909090909</v>
      </c>
      <c r="AN119" s="6" t="n">
        <f aca="false">VLOOKUP($F119,Category!$A$2:$AZ$20,21,0)</f>
        <v>0.545454545454545</v>
      </c>
      <c r="AO119" s="6" t="n">
        <f aca="false">VLOOKUP($E119,Role!$A$2:$O$9,5,0)</f>
        <v>0.666</v>
      </c>
      <c r="AP119" s="6" t="n">
        <f aca="false">VLOOKUP($F119,Category!$A$2:$AZ$20,9,0)</f>
        <v>0.222222222222222</v>
      </c>
      <c r="AQ119" s="6" t="n">
        <f aca="false">VLOOKUP($F119,Category!$A$2:$AZ$20,11,0)</f>
        <v>0.444444444444444</v>
      </c>
      <c r="AR119" s="6" t="n">
        <f aca="false">VLOOKUP($F119,Category!$A$2:$AZ$20,10,0)</f>
        <v>0.666666666666667</v>
      </c>
      <c r="AS119" s="6" t="n">
        <f aca="false">VLOOKUP($E119,Role!$A$2:$O$9,4,0)</f>
        <v>0.666</v>
      </c>
      <c r="AT119" s="7" t="n">
        <f aca="false">VLOOKUP($F119,Category!$A$2:$AZ$20,14,0)</f>
        <v>0.416666666666667</v>
      </c>
      <c r="AU119" s="7" t="n">
        <f aca="false">VLOOKUP($F119,Category!$A$2:$AZ$20,16,0)</f>
        <v>0.25</v>
      </c>
      <c r="AV119" s="7" t="n">
        <f aca="false">VLOOKUP($D119,Size!$A$2:$Z$14,17,0)</f>
        <v>2</v>
      </c>
      <c r="AW119" s="7" t="n">
        <f aca="false">VLOOKUP($E119,Role!$A$2:$O$9,3,0)</f>
        <v>0.666</v>
      </c>
      <c r="AX119" s="7" t="n">
        <f aca="false">VLOOKUP($F119,Category!$A$2:$AZ$20,29,0)</f>
        <v>0.333333333333333</v>
      </c>
      <c r="AY119" s="7" t="n">
        <f aca="false">VLOOKUP($F119,Category!$A$2:$AZ$20,31,0)</f>
        <v>0.444444444444444</v>
      </c>
      <c r="AZ119" s="7" t="n">
        <f aca="false">VLOOKUP($D119,Size!$A$2:$Z$14,16,0)</f>
        <v>4</v>
      </c>
      <c r="BA119" s="7" t="n">
        <f aca="false">VLOOKUP($E119,Role!$A$2:$O$9,2,0)</f>
        <v>0.666</v>
      </c>
      <c r="BC119" s="7" t="n">
        <f aca="false">VLOOKUP($D119,Size!$A$2:$Z$14,19,0)</f>
        <v>14</v>
      </c>
      <c r="BD119" s="7" t="n">
        <f aca="false">VLOOKUP($D119,Size!$A$2:$Z$14,20,0)</f>
        <v>2</v>
      </c>
      <c r="BE119" s="7" t="n">
        <f aca="false">VLOOKUP($E119,Role!$A$2:$O$9,12,0)</f>
        <v>1.25</v>
      </c>
      <c r="BF119" s="7" t="n">
        <f aca="false">VLOOKUP($C119,Type!$A$2:$B$4,2,0)</f>
        <v>1</v>
      </c>
      <c r="BG119" s="7" t="n">
        <f aca="false">VLOOKUP($D119,Size!$A$2:$Z$14,18,0)</f>
        <v>21.7830216372384</v>
      </c>
      <c r="BH119" s="7" t="n">
        <f aca="false">INT($BF119*$BG119*$BE119*$B119/2)</f>
        <v>68</v>
      </c>
      <c r="BI119" s="7" t="n">
        <f aca="false">INT(($BC119*$BF119)+($I119*$BD119))</f>
        <v>26</v>
      </c>
      <c r="BJ119" s="7" t="n">
        <f aca="false">INT((($I119*$BE119)+$BC119)*$BF119)</f>
        <v>21</v>
      </c>
      <c r="BK119" s="14"/>
      <c r="BL119" s="7" t="n">
        <f aca="false">VLOOKUP($E119,Role!$A$2:$O$9,13,0)</f>
        <v>1.25</v>
      </c>
      <c r="BM119" s="7" t="n">
        <f aca="false">VLOOKUP($E119,Role!$A$2:$O$9,11,0)</f>
        <v>0.666</v>
      </c>
      <c r="BO119" s="7" t="n">
        <f aca="false">VLOOKUP($E119,Role!$A$2:$O$9,8,0)</f>
        <v>0.75</v>
      </c>
      <c r="BP119" s="7" t="n">
        <f aca="false">VLOOKUP($E119,Role!$A$2:$O$9,9,0)</f>
        <v>0.75</v>
      </c>
      <c r="BQ119" s="7" t="n">
        <f aca="false">VLOOKUP($E119,Role!$A$2:$O$9,10,0)</f>
        <v>0.5</v>
      </c>
    </row>
    <row r="120" customFormat="false" ht="12.8" hidden="false" customHeight="false" outlineLevel="0" collapsed="false">
      <c r="B120" s="2" t="n">
        <v>5</v>
      </c>
      <c r="C120" s="3" t="s">
        <v>63</v>
      </c>
      <c r="D120" s="1" t="s">
        <v>86</v>
      </c>
      <c r="E120" s="1" t="s">
        <v>70</v>
      </c>
      <c r="F120" s="1" t="s">
        <v>92</v>
      </c>
      <c r="G120" s="1" t="s">
        <v>80</v>
      </c>
      <c r="H120" s="4" t="n">
        <f aca="false">VLOOKUP($D120,Size!$A$2:$Z$14,6,0)</f>
        <v>4</v>
      </c>
      <c r="I120" s="13" t="n">
        <f aca="false">INT(($B120*$AZ120*$AX120*$BA120)+($B120*$AY120))</f>
        <v>6</v>
      </c>
      <c r="J120" s="4" t="n">
        <f aca="false">ROUND((($B120*$AT120)+($AV120*$AU120))*$AW120,0)</f>
        <v>2</v>
      </c>
      <c r="K120" s="4" t="n">
        <f aca="false">ROUND((($B120*$AP120)+($B120*$AQ120))*$AS120,0)</f>
        <v>2</v>
      </c>
      <c r="L120" s="4" t="n">
        <f aca="false">ROUND((($B120*$AM120)+($B120*$AN120))*$AO120,0)</f>
        <v>2</v>
      </c>
      <c r="M120" s="4" t="n">
        <f aca="false">ROUND((($B120*$AG120)+($B120*$AH120))*$AI120,0)</f>
        <v>2</v>
      </c>
      <c r="N120" s="4" t="n">
        <f aca="false">ROUND((($B120*$AJ120)+($B120*$AK120))*$AL120,0)</f>
        <v>2</v>
      </c>
      <c r="O120" s="4" t="n">
        <f aca="false">INT($BO120*$B120)</f>
        <v>3</v>
      </c>
      <c r="P120" s="4" t="n">
        <f aca="false">INT($BP120*$B120)</f>
        <v>3</v>
      </c>
      <c r="Q120" s="4" t="n">
        <f aca="false">INT($BQ120*$B120*$AR120)</f>
        <v>1</v>
      </c>
      <c r="R120" s="4" t="n">
        <f aca="false">IF($R$1="WT/G",INT(POWER($BH120*$BJ120*$BI120,0.333333)),0)+IF($R$1="WT/A",INT(($BH120+$BJ120+$BI120)/3),0)+IF($R$1="WT/A2",INT(($BJ120+$BI120)/2),0)+IF($R$1="WT/W",INT(($BH120+$BJ120+$BJ120+$BI120)/4),0)+IF($R$1="WT/W2",INT(($BH120+$BJ120+$BI120+$BI120)/4),0)+IF($R$1="WT/N",INT(MIN($BH120,$BJ120,$BI120)),0)+IF($R$1="WT/M",INT(MAX($BH120,$BJ120,$BI120)),0)+IF($R$1="WT/1",INT($BH120),0)+IF($R$1="WT/2",INT($BI120),0)+IF($R$1="WT/3",INT($BJ120),0)</f>
        <v>42</v>
      </c>
      <c r="S120" s="4" t="n">
        <f aca="false">INT((10+$M120)*$BL120)</f>
        <v>15</v>
      </c>
      <c r="T120" s="4" t="n">
        <f aca="false">INT($I120*$BM120*$BF120)</f>
        <v>3</v>
      </c>
      <c r="U120" s="2" t="n">
        <f aca="false">ROUND(MAX($J120,$L120)+(MIN($J120,$L120)*$X120),0)</f>
        <v>4</v>
      </c>
      <c r="V120" s="2" t="n">
        <f aca="false">MAX(1,INT(((MIN($I120:$J120)+(MAX($I120:$J120)*$H120*$Y120)))*$Z120))</f>
        <v>39</v>
      </c>
      <c r="X120" s="5" t="n">
        <f aca="false">VLOOKUP($E120,Role!$A$2:$O$9,14,0)</f>
        <v>1</v>
      </c>
      <c r="Y120" s="5" t="n">
        <f aca="false">VLOOKUP($E120,Role!$A$2:$O$9,15,0)</f>
        <v>1</v>
      </c>
      <c r="Z120" s="5" t="n">
        <f aca="false">VLOOKUP($G120,Movement!$A$2:$C$7,3,0)</f>
        <v>1.5</v>
      </c>
      <c r="AB120" s="5" t="n">
        <f aca="false">INT(5+(($H120-1)/3))</f>
        <v>6</v>
      </c>
      <c r="AC120" s="5" t="n">
        <f aca="false">IF($AB120&lt;$I120,$I120-MAX($AB120,$B120),0)</f>
        <v>0</v>
      </c>
      <c r="AD120" s="5" t="n">
        <f aca="false">(5-ROUND(($H120-1)/3,0))</f>
        <v>4</v>
      </c>
      <c r="AE120" s="5" t="n">
        <f aca="false">IF($AD120&lt;$J120,$J120-MAX($AD120,$B120),0)</f>
        <v>0</v>
      </c>
      <c r="AG120" s="6" t="n">
        <f aca="false">VLOOKUP($F120,Category!$A$2:$AZ$20,24,0)</f>
        <v>0.111111111111111</v>
      </c>
      <c r="AH120" s="6" t="n">
        <f aca="false">VLOOKUP($F120,Category!$A$2:$AZ$20,26,0)</f>
        <v>0.444444444444444</v>
      </c>
      <c r="AI120" s="6" t="n">
        <f aca="false">VLOOKUP($E120,Role!$A$2:$O$9,6,0)</f>
        <v>0.666</v>
      </c>
      <c r="AJ120" s="6" t="n">
        <f aca="false">VLOOKUP($F120,Category!$A$2:$AZ$20,19,0)</f>
        <v>0.0909090909090909</v>
      </c>
      <c r="AK120" s="6" t="n">
        <f aca="false">VLOOKUP($F120,Category!$A$2:$AZ$20,21,0)</f>
        <v>0.545454545454545</v>
      </c>
      <c r="AL120" s="6" t="n">
        <f aca="false">VLOOKUP($E120,Role!$A$2:$O$9,7,0)</f>
        <v>0.666</v>
      </c>
      <c r="AM120" s="6" t="n">
        <f aca="false">VLOOKUP($F120,Category!$A$2:$AZ$20,19,0)</f>
        <v>0.0909090909090909</v>
      </c>
      <c r="AN120" s="6" t="n">
        <f aca="false">VLOOKUP($F120,Category!$A$2:$AZ$20,21,0)</f>
        <v>0.545454545454545</v>
      </c>
      <c r="AO120" s="6" t="n">
        <f aca="false">VLOOKUP($E120,Role!$A$2:$O$9,5,0)</f>
        <v>0.666</v>
      </c>
      <c r="AP120" s="6" t="n">
        <f aca="false">VLOOKUP($F120,Category!$A$2:$AZ$20,9,0)</f>
        <v>0.222222222222222</v>
      </c>
      <c r="AQ120" s="6" t="n">
        <f aca="false">VLOOKUP($F120,Category!$A$2:$AZ$20,11,0)</f>
        <v>0.444444444444444</v>
      </c>
      <c r="AR120" s="6" t="n">
        <f aca="false">VLOOKUP($F120,Category!$A$2:$AZ$20,10,0)</f>
        <v>0.666666666666667</v>
      </c>
      <c r="AS120" s="6" t="n">
        <f aca="false">VLOOKUP($E120,Role!$A$2:$O$9,4,0)</f>
        <v>0.666</v>
      </c>
      <c r="AT120" s="7" t="n">
        <f aca="false">VLOOKUP($F120,Category!$A$2:$AZ$20,14,0)</f>
        <v>0.416666666666667</v>
      </c>
      <c r="AU120" s="7" t="n">
        <f aca="false">VLOOKUP($F120,Category!$A$2:$AZ$20,16,0)</f>
        <v>0.25</v>
      </c>
      <c r="AV120" s="7" t="n">
        <f aca="false">VLOOKUP($D120,Size!$A$2:$Z$14,17,0)</f>
        <v>2</v>
      </c>
      <c r="AW120" s="7" t="n">
        <f aca="false">VLOOKUP($E120,Role!$A$2:$O$9,3,0)</f>
        <v>0.666</v>
      </c>
      <c r="AX120" s="7" t="n">
        <f aca="false">VLOOKUP($F120,Category!$A$2:$AZ$20,29,0)</f>
        <v>0.333333333333333</v>
      </c>
      <c r="AY120" s="7" t="n">
        <f aca="false">VLOOKUP($F120,Category!$A$2:$AZ$20,31,0)</f>
        <v>0.444444444444444</v>
      </c>
      <c r="AZ120" s="7" t="n">
        <f aca="false">VLOOKUP($D120,Size!$A$2:$Z$14,16,0)</f>
        <v>4</v>
      </c>
      <c r="BA120" s="7" t="n">
        <f aca="false">VLOOKUP($E120,Role!$A$2:$O$9,2,0)</f>
        <v>0.666</v>
      </c>
      <c r="BC120" s="7" t="n">
        <f aca="false">VLOOKUP($D120,Size!$A$2:$Z$14,19,0)</f>
        <v>16</v>
      </c>
      <c r="BD120" s="7" t="n">
        <f aca="false">VLOOKUP($D120,Size!$A$2:$Z$14,20,0)</f>
        <v>3</v>
      </c>
      <c r="BE120" s="7" t="n">
        <f aca="false">VLOOKUP($E120,Role!$A$2:$O$9,12,0)</f>
        <v>1.25</v>
      </c>
      <c r="BF120" s="7" t="n">
        <f aca="false">VLOOKUP($C120,Type!$A$2:$B$4,2,0)</f>
        <v>1</v>
      </c>
      <c r="BG120" s="7" t="n">
        <f aca="false">VLOOKUP($D120,Size!$A$2:$Z$14,18,0)</f>
        <v>25.3004131186338</v>
      </c>
      <c r="BH120" s="7" t="n">
        <f aca="false">INT($BF120*$BG120*$BE120*$B120/2)</f>
        <v>79</v>
      </c>
      <c r="BI120" s="7" t="n">
        <f aca="false">INT(($BC120*$BF120)+($I120*$BD120))</f>
        <v>34</v>
      </c>
      <c r="BJ120" s="7" t="n">
        <f aca="false">INT((($I120*$BE120)+$BC120)*$BF120)</f>
        <v>23</v>
      </c>
      <c r="BK120" s="14"/>
      <c r="BL120" s="7" t="n">
        <f aca="false">VLOOKUP($E120,Role!$A$2:$O$9,13,0)</f>
        <v>1.25</v>
      </c>
      <c r="BM120" s="7" t="n">
        <f aca="false">VLOOKUP($E120,Role!$A$2:$O$9,11,0)</f>
        <v>0.666</v>
      </c>
      <c r="BO120" s="7" t="n">
        <f aca="false">VLOOKUP($E120,Role!$A$2:$O$9,8,0)</f>
        <v>0.75</v>
      </c>
      <c r="BP120" s="7" t="n">
        <f aca="false">VLOOKUP($E120,Role!$A$2:$O$9,9,0)</f>
        <v>0.75</v>
      </c>
      <c r="BQ120" s="7" t="n">
        <f aca="false">VLOOKUP($E120,Role!$A$2:$O$9,10,0)</f>
        <v>0.5</v>
      </c>
    </row>
    <row r="121" customFormat="false" ht="12.8" hidden="false" customHeight="false" outlineLevel="0" collapsed="false">
      <c r="B121" s="2" t="n">
        <v>5</v>
      </c>
      <c r="C121" s="3" t="s">
        <v>63</v>
      </c>
      <c r="D121" s="1" t="s">
        <v>87</v>
      </c>
      <c r="E121" s="1" t="s">
        <v>70</v>
      </c>
      <c r="F121" s="1" t="s">
        <v>92</v>
      </c>
      <c r="G121" s="1" t="s">
        <v>80</v>
      </c>
      <c r="H121" s="4" t="n">
        <f aca="false">VLOOKUP($D121,Size!$A$2:$Z$14,6,0)</f>
        <v>5</v>
      </c>
      <c r="I121" s="13" t="n">
        <f aca="false">INT(($B121*$AZ121*$AX121*$BA121)+($B121*$AY121))</f>
        <v>7</v>
      </c>
      <c r="J121" s="4" t="n">
        <f aca="false">ROUND((($B121*$AT121)+($AV121*$AU121))*$AW121,0)</f>
        <v>2</v>
      </c>
      <c r="K121" s="4" t="n">
        <f aca="false">ROUND((($B121*$AP121)+($B121*$AQ121))*$AS121,0)</f>
        <v>2</v>
      </c>
      <c r="L121" s="4" t="n">
        <f aca="false">ROUND((($B121*$AM121)+($B121*$AN121))*$AO121,0)</f>
        <v>2</v>
      </c>
      <c r="M121" s="4" t="n">
        <f aca="false">ROUND((($B121*$AG121)+($B121*$AH121))*$AI121,0)</f>
        <v>2</v>
      </c>
      <c r="N121" s="4" t="n">
        <f aca="false">ROUND((($B121*$AJ121)+($B121*$AK121))*$AL121,0)</f>
        <v>2</v>
      </c>
      <c r="O121" s="4" t="n">
        <f aca="false">INT($BO121*$B121)</f>
        <v>3</v>
      </c>
      <c r="P121" s="4" t="n">
        <f aca="false">INT($BP121*$B121)</f>
        <v>3</v>
      </c>
      <c r="Q121" s="4" t="n">
        <f aca="false">INT($BQ121*$B121*$AR121)</f>
        <v>1</v>
      </c>
      <c r="R121" s="4" t="n">
        <f aca="false">IF($R$1="WT/G",INT(POWER($BH121*$BJ121*$BI121,0.333333)),0)+IF($R$1="WT/A",INT(($BH121+$BJ121+$BI121)/3),0)+IF($R$1="WT/A2",INT(($BJ121+$BI121)/2),0)+IF($R$1="WT/W",INT(($BH121+$BJ121+$BJ121+$BI121)/4),0)+IF($R$1="WT/W2",INT(($BH121+$BJ121+$BI121+$BI121)/4),0)+IF($R$1="WT/N",INT(MIN($BH121,$BJ121,$BI121)),0)+IF($R$1="WT/M",INT(MAX($BH121,$BJ121,$BI121)),0)+IF($R$1="WT/1",INT($BH121),0)+IF($R$1="WT/2",INT($BI121),0)+IF($R$1="WT/3",INT($BJ121),0)</f>
        <v>53</v>
      </c>
      <c r="S121" s="4" t="n">
        <f aca="false">INT((10+$M121)*$BL121)</f>
        <v>15</v>
      </c>
      <c r="T121" s="4" t="n">
        <f aca="false">INT($I121*$BM121*$BF121)</f>
        <v>4</v>
      </c>
      <c r="U121" s="2" t="n">
        <f aca="false">ROUND(MAX($J121,$L121)+(MIN($J121,$L121)*$X121),0)</f>
        <v>4</v>
      </c>
      <c r="V121" s="2" t="n">
        <f aca="false">MAX(1,INT(((MIN($I121:$J121)+(MAX($I121:$J121)*$H121*$Y121)))*$Z121))</f>
        <v>55</v>
      </c>
      <c r="X121" s="5" t="n">
        <f aca="false">VLOOKUP($E121,Role!$A$2:$O$9,14,0)</f>
        <v>1</v>
      </c>
      <c r="Y121" s="5" t="n">
        <f aca="false">VLOOKUP($E121,Role!$A$2:$O$9,15,0)</f>
        <v>1</v>
      </c>
      <c r="Z121" s="5" t="n">
        <f aca="false">VLOOKUP($G121,Movement!$A$2:$C$7,3,0)</f>
        <v>1.5</v>
      </c>
      <c r="AB121" s="5" t="n">
        <f aca="false">INT(5+(($H121-1)/3))</f>
        <v>6</v>
      </c>
      <c r="AC121" s="5" t="n">
        <f aca="false">IF($AB121&lt;$I121,$I121-MAX($AB121,$B121),0)</f>
        <v>1</v>
      </c>
      <c r="AD121" s="5" t="n">
        <f aca="false">(5-ROUND(($H121-1)/3,0))</f>
        <v>4</v>
      </c>
      <c r="AE121" s="5" t="n">
        <f aca="false">IF($AD121&lt;$J121,$J121-MAX($AD121,$B121),0)</f>
        <v>0</v>
      </c>
      <c r="AG121" s="6" t="n">
        <f aca="false">VLOOKUP($F121,Category!$A$2:$AZ$20,24,0)</f>
        <v>0.111111111111111</v>
      </c>
      <c r="AH121" s="6" t="n">
        <f aca="false">VLOOKUP($F121,Category!$A$2:$AZ$20,26,0)</f>
        <v>0.444444444444444</v>
      </c>
      <c r="AI121" s="6" t="n">
        <f aca="false">VLOOKUP($E121,Role!$A$2:$O$9,6,0)</f>
        <v>0.666</v>
      </c>
      <c r="AJ121" s="6" t="n">
        <f aca="false">VLOOKUP($F121,Category!$A$2:$AZ$20,19,0)</f>
        <v>0.0909090909090909</v>
      </c>
      <c r="AK121" s="6" t="n">
        <f aca="false">VLOOKUP($F121,Category!$A$2:$AZ$20,21,0)</f>
        <v>0.545454545454545</v>
      </c>
      <c r="AL121" s="6" t="n">
        <f aca="false">VLOOKUP($E121,Role!$A$2:$O$9,7,0)</f>
        <v>0.666</v>
      </c>
      <c r="AM121" s="6" t="n">
        <f aca="false">VLOOKUP($F121,Category!$A$2:$AZ$20,19,0)</f>
        <v>0.0909090909090909</v>
      </c>
      <c r="AN121" s="6" t="n">
        <f aca="false">VLOOKUP($F121,Category!$A$2:$AZ$20,21,0)</f>
        <v>0.545454545454545</v>
      </c>
      <c r="AO121" s="6" t="n">
        <f aca="false">VLOOKUP($E121,Role!$A$2:$O$9,5,0)</f>
        <v>0.666</v>
      </c>
      <c r="AP121" s="6" t="n">
        <f aca="false">VLOOKUP($F121,Category!$A$2:$AZ$20,9,0)</f>
        <v>0.222222222222222</v>
      </c>
      <c r="AQ121" s="6" t="n">
        <f aca="false">VLOOKUP($F121,Category!$A$2:$AZ$20,11,0)</f>
        <v>0.444444444444444</v>
      </c>
      <c r="AR121" s="6" t="n">
        <f aca="false">VLOOKUP($F121,Category!$A$2:$AZ$20,10,0)</f>
        <v>0.666666666666667</v>
      </c>
      <c r="AS121" s="6" t="n">
        <f aca="false">VLOOKUP($E121,Role!$A$2:$O$9,4,0)</f>
        <v>0.666</v>
      </c>
      <c r="AT121" s="7" t="n">
        <f aca="false">VLOOKUP($F121,Category!$A$2:$AZ$20,14,0)</f>
        <v>0.416666666666667</v>
      </c>
      <c r="AU121" s="7" t="n">
        <f aca="false">VLOOKUP($F121,Category!$A$2:$AZ$20,16,0)</f>
        <v>0.25</v>
      </c>
      <c r="AV121" s="7" t="n">
        <f aca="false">VLOOKUP($D121,Size!$A$2:$Z$14,17,0)</f>
        <v>2</v>
      </c>
      <c r="AW121" s="7" t="n">
        <f aca="false">VLOOKUP($E121,Role!$A$2:$O$9,3,0)</f>
        <v>0.666</v>
      </c>
      <c r="AX121" s="7" t="n">
        <f aca="false">VLOOKUP($F121,Category!$A$2:$AZ$20,29,0)</f>
        <v>0.333333333333333</v>
      </c>
      <c r="AY121" s="7" t="n">
        <f aca="false">VLOOKUP($F121,Category!$A$2:$AZ$20,31,0)</f>
        <v>0.444444444444444</v>
      </c>
      <c r="AZ121" s="7" t="n">
        <f aca="false">VLOOKUP($D121,Size!$A$2:$Z$14,16,0)</f>
        <v>5</v>
      </c>
      <c r="BA121" s="7" t="n">
        <f aca="false">VLOOKUP($E121,Role!$A$2:$O$9,2,0)</f>
        <v>0.666</v>
      </c>
      <c r="BC121" s="7" t="n">
        <f aca="false">VLOOKUP($D121,Size!$A$2:$Z$14,19,0)</f>
        <v>18</v>
      </c>
      <c r="BD121" s="7" t="n">
        <f aca="false">VLOOKUP($D121,Size!$A$2:$Z$14,20,0)</f>
        <v>4</v>
      </c>
      <c r="BE121" s="7" t="n">
        <f aca="false">VLOOKUP($E121,Role!$A$2:$O$9,12,0)</f>
        <v>1.25</v>
      </c>
      <c r="BF121" s="7" t="n">
        <f aca="false">VLOOKUP($C121,Type!$A$2:$B$4,2,0)</f>
        <v>1</v>
      </c>
      <c r="BG121" s="7" t="n">
        <f aca="false">VLOOKUP($D121,Size!$A$2:$Z$14,18,0)</f>
        <v>31.2018765062488</v>
      </c>
      <c r="BH121" s="7" t="n">
        <f aca="false">INT($BF121*$BG121*$BE121*$B121/2)</f>
        <v>97</v>
      </c>
      <c r="BI121" s="7" t="n">
        <f aca="false">INT(($BC121*$BF121)+($I121*$BD121))</f>
        <v>46</v>
      </c>
      <c r="BJ121" s="7" t="n">
        <f aca="false">INT((($I121*$BE121)+$BC121)*$BF121)</f>
        <v>26</v>
      </c>
      <c r="BK121" s="14"/>
      <c r="BL121" s="7" t="n">
        <f aca="false">VLOOKUP($E121,Role!$A$2:$O$9,13,0)</f>
        <v>1.25</v>
      </c>
      <c r="BM121" s="7" t="n">
        <f aca="false">VLOOKUP($E121,Role!$A$2:$O$9,11,0)</f>
        <v>0.666</v>
      </c>
      <c r="BO121" s="7" t="n">
        <f aca="false">VLOOKUP($E121,Role!$A$2:$O$9,8,0)</f>
        <v>0.75</v>
      </c>
      <c r="BP121" s="7" t="n">
        <f aca="false">VLOOKUP($E121,Role!$A$2:$O$9,9,0)</f>
        <v>0.75</v>
      </c>
      <c r="BQ121" s="7" t="n">
        <f aca="false">VLOOKUP($E121,Role!$A$2:$O$9,10,0)</f>
        <v>0.5</v>
      </c>
    </row>
    <row r="122" customFormat="false" ht="12.8" hidden="false" customHeight="false" outlineLevel="0" collapsed="false">
      <c r="B122" s="2" t="n">
        <v>5</v>
      </c>
      <c r="C122" s="3" t="s">
        <v>63</v>
      </c>
      <c r="D122" s="1" t="s">
        <v>88</v>
      </c>
      <c r="E122" s="1" t="s">
        <v>70</v>
      </c>
      <c r="F122" s="1" t="s">
        <v>92</v>
      </c>
      <c r="G122" s="1" t="s">
        <v>80</v>
      </c>
      <c r="H122" s="4" t="n">
        <f aca="false">VLOOKUP($D122,Size!$A$2:$Z$14,6,0)</f>
        <v>6</v>
      </c>
      <c r="I122" s="13" t="n">
        <f aca="false">INT(($B122*$AZ122*$AX122*$BA122)+($B122*$AY122))</f>
        <v>7</v>
      </c>
      <c r="J122" s="4" t="n">
        <f aca="false">ROUND((($B122*$AT122)+($AV122*$AU122))*$AW122,0)</f>
        <v>2</v>
      </c>
      <c r="K122" s="4" t="n">
        <f aca="false">ROUND((($B122*$AP122)+($B122*$AQ122))*$AS122,0)</f>
        <v>2</v>
      </c>
      <c r="L122" s="4" t="n">
        <f aca="false">ROUND((($B122*$AM122)+($B122*$AN122))*$AO122,0)</f>
        <v>2</v>
      </c>
      <c r="M122" s="4" t="n">
        <f aca="false">ROUND((($B122*$AG122)+($B122*$AH122))*$AI122,0)</f>
        <v>2</v>
      </c>
      <c r="N122" s="4" t="n">
        <f aca="false">ROUND((($B122*$AJ122)+($B122*$AK122))*$AL122,0)</f>
        <v>2</v>
      </c>
      <c r="O122" s="4" t="n">
        <f aca="false">INT($BO122*$B122)</f>
        <v>3</v>
      </c>
      <c r="P122" s="4" t="n">
        <f aca="false">INT($BP122*$B122)</f>
        <v>3</v>
      </c>
      <c r="Q122" s="4" t="n">
        <f aca="false">INT($BQ122*$B122*$AR122)</f>
        <v>1</v>
      </c>
      <c r="R122" s="4" t="n">
        <f aca="false">IF($R$1="WT/G",INT(POWER($BH122*$BJ122*$BI122,0.333333)),0)+IF($R$1="WT/A",INT(($BH122+$BJ122+$BI122)/3),0)+IF($R$1="WT/A2",INT(($BJ122+$BI122)/2),0)+IF($R$1="WT/W",INT(($BH122+$BJ122+$BJ122+$BI122)/4),0)+IF($R$1="WT/W2",INT(($BH122+$BJ122+$BI122+$BI122)/4),0)+IF($R$1="WT/N",INT(MIN($BH122,$BJ122,$BI122)),0)+IF($R$1="WT/M",INT(MAX($BH122,$BJ122,$BI122)),0)+IF($R$1="WT/1",INT($BH122),0)+IF($R$1="WT/2",INT($BI122),0)+IF($R$1="WT/3",INT($BJ122),0)</f>
        <v>64</v>
      </c>
      <c r="S122" s="4" t="n">
        <f aca="false">INT((10+$M122)*$BL122)</f>
        <v>15</v>
      </c>
      <c r="T122" s="4" t="n">
        <f aca="false">INT($I122*$BM122*$BF122)</f>
        <v>4</v>
      </c>
      <c r="U122" s="2" t="n">
        <f aca="false">ROUND(MAX($J122,$L122)+(MIN($J122,$L122)*$X122),0)</f>
        <v>4</v>
      </c>
      <c r="V122" s="2" t="n">
        <f aca="false">MAX(1,INT(((MIN($I122:$J122)+(MAX($I122:$J122)*$H122*$Y122)))*$Z122))</f>
        <v>66</v>
      </c>
      <c r="X122" s="5" t="n">
        <f aca="false">VLOOKUP($E122,Role!$A$2:$O$9,14,0)</f>
        <v>1</v>
      </c>
      <c r="Y122" s="5" t="n">
        <f aca="false">VLOOKUP($E122,Role!$A$2:$O$9,15,0)</f>
        <v>1</v>
      </c>
      <c r="Z122" s="5" t="n">
        <f aca="false">VLOOKUP($G122,Movement!$A$2:$C$7,3,0)</f>
        <v>1.5</v>
      </c>
      <c r="AB122" s="5" t="n">
        <f aca="false">INT(5+(($H122-1)/3))</f>
        <v>6</v>
      </c>
      <c r="AC122" s="5" t="n">
        <f aca="false">IF($AB122&lt;$I122,$I122-MAX($AB122,$B122),0)</f>
        <v>1</v>
      </c>
      <c r="AD122" s="5" t="n">
        <f aca="false">(5-ROUND(($H122-1)/3,0))</f>
        <v>3</v>
      </c>
      <c r="AE122" s="5" t="n">
        <f aca="false">IF($AD122&lt;$J122,$J122-MAX($AD122,$B122),0)</f>
        <v>0</v>
      </c>
      <c r="AG122" s="6" t="n">
        <f aca="false">VLOOKUP($F122,Category!$A$2:$AZ$20,24,0)</f>
        <v>0.111111111111111</v>
      </c>
      <c r="AH122" s="6" t="n">
        <f aca="false">VLOOKUP($F122,Category!$A$2:$AZ$20,26,0)</f>
        <v>0.444444444444444</v>
      </c>
      <c r="AI122" s="6" t="n">
        <f aca="false">VLOOKUP($E122,Role!$A$2:$O$9,6,0)</f>
        <v>0.666</v>
      </c>
      <c r="AJ122" s="6" t="n">
        <f aca="false">VLOOKUP($F122,Category!$A$2:$AZ$20,19,0)</f>
        <v>0.0909090909090909</v>
      </c>
      <c r="AK122" s="6" t="n">
        <f aca="false">VLOOKUP($F122,Category!$A$2:$AZ$20,21,0)</f>
        <v>0.545454545454545</v>
      </c>
      <c r="AL122" s="6" t="n">
        <f aca="false">VLOOKUP($E122,Role!$A$2:$O$9,7,0)</f>
        <v>0.666</v>
      </c>
      <c r="AM122" s="6" t="n">
        <f aca="false">VLOOKUP($F122,Category!$A$2:$AZ$20,19,0)</f>
        <v>0.0909090909090909</v>
      </c>
      <c r="AN122" s="6" t="n">
        <f aca="false">VLOOKUP($F122,Category!$A$2:$AZ$20,21,0)</f>
        <v>0.545454545454545</v>
      </c>
      <c r="AO122" s="6" t="n">
        <f aca="false">VLOOKUP($E122,Role!$A$2:$O$9,5,0)</f>
        <v>0.666</v>
      </c>
      <c r="AP122" s="6" t="n">
        <f aca="false">VLOOKUP($F122,Category!$A$2:$AZ$20,9,0)</f>
        <v>0.222222222222222</v>
      </c>
      <c r="AQ122" s="6" t="n">
        <f aca="false">VLOOKUP($F122,Category!$A$2:$AZ$20,11,0)</f>
        <v>0.444444444444444</v>
      </c>
      <c r="AR122" s="6" t="n">
        <f aca="false">VLOOKUP($F122,Category!$A$2:$AZ$20,10,0)</f>
        <v>0.666666666666667</v>
      </c>
      <c r="AS122" s="6" t="n">
        <f aca="false">VLOOKUP($E122,Role!$A$2:$O$9,4,0)</f>
        <v>0.666</v>
      </c>
      <c r="AT122" s="7" t="n">
        <f aca="false">VLOOKUP($F122,Category!$A$2:$AZ$20,14,0)</f>
        <v>0.416666666666667</v>
      </c>
      <c r="AU122" s="7" t="n">
        <f aca="false">VLOOKUP($F122,Category!$A$2:$AZ$20,16,0)</f>
        <v>0.25</v>
      </c>
      <c r="AV122" s="7" t="n">
        <f aca="false">VLOOKUP($D122,Size!$A$2:$Z$14,17,0)</f>
        <v>2</v>
      </c>
      <c r="AW122" s="7" t="n">
        <f aca="false">VLOOKUP($E122,Role!$A$2:$O$9,3,0)</f>
        <v>0.666</v>
      </c>
      <c r="AX122" s="7" t="n">
        <f aca="false">VLOOKUP($F122,Category!$A$2:$AZ$20,29,0)</f>
        <v>0.333333333333333</v>
      </c>
      <c r="AY122" s="7" t="n">
        <f aca="false">VLOOKUP($F122,Category!$A$2:$AZ$20,31,0)</f>
        <v>0.444444444444444</v>
      </c>
      <c r="AZ122" s="7" t="n">
        <f aca="false">VLOOKUP($D122,Size!$A$2:$Z$14,16,0)</f>
        <v>5</v>
      </c>
      <c r="BA122" s="7" t="n">
        <f aca="false">VLOOKUP($E122,Role!$A$2:$O$9,2,0)</f>
        <v>0.666</v>
      </c>
      <c r="BC122" s="7" t="n">
        <f aca="false">VLOOKUP($D122,Size!$A$2:$Z$14,19,0)</f>
        <v>20</v>
      </c>
      <c r="BD122" s="7" t="n">
        <f aca="false">VLOOKUP($D122,Size!$A$2:$Z$14,20,0)</f>
        <v>5</v>
      </c>
      <c r="BE122" s="7" t="n">
        <f aca="false">VLOOKUP($E122,Role!$A$2:$O$9,12,0)</f>
        <v>1.25</v>
      </c>
      <c r="BF122" s="7" t="n">
        <f aca="false">VLOOKUP($C122,Type!$A$2:$B$4,2,0)</f>
        <v>1</v>
      </c>
      <c r="BG122" s="7" t="n">
        <f aca="false">VLOOKUP($D122,Size!$A$2:$Z$14,18,0)</f>
        <v>38.7177346253629</v>
      </c>
      <c r="BH122" s="7" t="n">
        <f aca="false">INT($BF122*$BG122*$BE122*$B122/2)</f>
        <v>120</v>
      </c>
      <c r="BI122" s="7" t="n">
        <f aca="false">INT(($BC122*$BF122)+($I122*$BD122))</f>
        <v>55</v>
      </c>
      <c r="BJ122" s="7" t="n">
        <f aca="false">INT((($I122*$BE122)+$BC122)*$BF122)</f>
        <v>28</v>
      </c>
      <c r="BK122" s="14"/>
      <c r="BL122" s="7" t="n">
        <f aca="false">VLOOKUP($E122,Role!$A$2:$O$9,13,0)</f>
        <v>1.25</v>
      </c>
      <c r="BM122" s="7" t="n">
        <f aca="false">VLOOKUP($E122,Role!$A$2:$O$9,11,0)</f>
        <v>0.666</v>
      </c>
      <c r="BO122" s="7" t="n">
        <f aca="false">VLOOKUP($E122,Role!$A$2:$O$9,8,0)</f>
        <v>0.75</v>
      </c>
      <c r="BP122" s="7" t="n">
        <f aca="false">VLOOKUP($E122,Role!$A$2:$O$9,9,0)</f>
        <v>0.75</v>
      </c>
      <c r="BQ122" s="7" t="n">
        <f aca="false">VLOOKUP($E122,Role!$A$2:$O$9,10,0)</f>
        <v>0.5</v>
      </c>
    </row>
    <row r="123" customFormat="false" ht="12.8" hidden="false" customHeight="false" outlineLevel="0" collapsed="false">
      <c r="B123" s="2" t="n">
        <v>5</v>
      </c>
      <c r="C123" s="3" t="s">
        <v>63</v>
      </c>
      <c r="D123" s="1" t="s">
        <v>89</v>
      </c>
      <c r="E123" s="1" t="s">
        <v>70</v>
      </c>
      <c r="F123" s="1" t="s">
        <v>92</v>
      </c>
      <c r="G123" s="1" t="s">
        <v>80</v>
      </c>
      <c r="H123" s="4" t="n">
        <f aca="false">VLOOKUP($D123,Size!$A$2:$Z$14,6,0)</f>
        <v>7</v>
      </c>
      <c r="I123" s="13" t="n">
        <f aca="false">INT(($B123*$AZ123*$AX123*$BA123)+($B123*$AY123))</f>
        <v>7</v>
      </c>
      <c r="J123" s="4" t="n">
        <f aca="false">ROUND((($B123*$AT123)+($AV123*$AU123))*$AW123,0)</f>
        <v>2</v>
      </c>
      <c r="K123" s="4" t="n">
        <f aca="false">ROUND((($B123*$AP123)+($B123*$AQ123))*$AS123,0)</f>
        <v>2</v>
      </c>
      <c r="L123" s="4" t="n">
        <f aca="false">ROUND((($B123*$AM123)+($B123*$AN123))*$AO123,0)</f>
        <v>2</v>
      </c>
      <c r="M123" s="4" t="n">
        <f aca="false">ROUND((($B123*$AG123)+($B123*$AH123))*$AI123,0)</f>
        <v>2</v>
      </c>
      <c r="N123" s="4" t="n">
        <f aca="false">ROUND((($B123*$AJ123)+($B123*$AK123))*$AL123,0)</f>
        <v>2</v>
      </c>
      <c r="O123" s="4" t="n">
        <f aca="false">INT($BO123*$B123)</f>
        <v>3</v>
      </c>
      <c r="P123" s="4" t="n">
        <f aca="false">INT($BP123*$B123)</f>
        <v>3</v>
      </c>
      <c r="Q123" s="4" t="n">
        <f aca="false">INT($BQ123*$B123*$AR123)</f>
        <v>1</v>
      </c>
      <c r="R123" s="4" t="n">
        <f aca="false">IF($R$1="WT/G",INT(POWER($BH123*$BJ123*$BI123,0.333333)),0)+IF($R$1="WT/A",INT(($BH123+$BJ123+$BI123)/3),0)+IF($R$1="WT/A2",INT(($BJ123+$BI123)/2),0)+IF($R$1="WT/W",INT(($BH123+$BJ123+$BJ123+$BI123)/4),0)+IF($R$1="WT/W2",INT(($BH123+$BJ123+$BI123+$BI123)/4),0)+IF($R$1="WT/N",INT(MIN($BH123,$BJ123,$BI123)),0)+IF($R$1="WT/M",INT(MAX($BH123,$BJ123,$BI123)),0)+IF($R$1="WT/1",INT($BH123),0)+IF($R$1="WT/2",INT($BI123),0)+IF($R$1="WT/3",INT($BJ123),0)</f>
        <v>75</v>
      </c>
      <c r="S123" s="4" t="n">
        <f aca="false">INT((10+$M123)*$BL123)</f>
        <v>15</v>
      </c>
      <c r="T123" s="4" t="n">
        <f aca="false">INT($I123*$BM123*$BF123)</f>
        <v>4</v>
      </c>
      <c r="U123" s="2" t="n">
        <f aca="false">ROUND(MAX($J123,$L123)+(MIN($J123,$L123)*$X123),0)</f>
        <v>4</v>
      </c>
      <c r="V123" s="2" t="n">
        <f aca="false">MAX(1,INT(((MIN($I123:$J123)+(MAX($I123:$J123)*$H123*$Y123)))*$Z123))</f>
        <v>76</v>
      </c>
      <c r="X123" s="5" t="n">
        <f aca="false">VLOOKUP($E123,Role!$A$2:$O$9,14,0)</f>
        <v>1</v>
      </c>
      <c r="Y123" s="5" t="n">
        <f aca="false">VLOOKUP($E123,Role!$A$2:$O$9,15,0)</f>
        <v>1</v>
      </c>
      <c r="Z123" s="5" t="n">
        <f aca="false">VLOOKUP($G123,Movement!$A$2:$C$7,3,0)</f>
        <v>1.5</v>
      </c>
      <c r="AB123" s="5" t="n">
        <f aca="false">INT(5+(($H123-1)/3))</f>
        <v>7</v>
      </c>
      <c r="AC123" s="5" t="n">
        <f aca="false">IF($AB123&lt;$I123,$I123-MAX($AB123,$B123),0)</f>
        <v>0</v>
      </c>
      <c r="AD123" s="5" t="n">
        <f aca="false">(5-ROUND(($H123-1)/3,0))</f>
        <v>3</v>
      </c>
      <c r="AE123" s="5" t="n">
        <f aca="false">IF($AD123&lt;$J123,$J123-MAX($AD123,$B123),0)</f>
        <v>0</v>
      </c>
      <c r="AG123" s="6" t="n">
        <f aca="false">VLOOKUP($F123,Category!$A$2:$AZ$20,24,0)</f>
        <v>0.111111111111111</v>
      </c>
      <c r="AH123" s="6" t="n">
        <f aca="false">VLOOKUP($F123,Category!$A$2:$AZ$20,26,0)</f>
        <v>0.444444444444444</v>
      </c>
      <c r="AI123" s="6" t="n">
        <f aca="false">VLOOKUP($E123,Role!$A$2:$O$9,6,0)</f>
        <v>0.666</v>
      </c>
      <c r="AJ123" s="6" t="n">
        <f aca="false">VLOOKUP($F123,Category!$A$2:$AZ$20,19,0)</f>
        <v>0.0909090909090909</v>
      </c>
      <c r="AK123" s="6" t="n">
        <f aca="false">VLOOKUP($F123,Category!$A$2:$AZ$20,21,0)</f>
        <v>0.545454545454545</v>
      </c>
      <c r="AL123" s="6" t="n">
        <f aca="false">VLOOKUP($E123,Role!$A$2:$O$9,7,0)</f>
        <v>0.666</v>
      </c>
      <c r="AM123" s="6" t="n">
        <f aca="false">VLOOKUP($F123,Category!$A$2:$AZ$20,19,0)</f>
        <v>0.0909090909090909</v>
      </c>
      <c r="AN123" s="6" t="n">
        <f aca="false">VLOOKUP($F123,Category!$A$2:$AZ$20,21,0)</f>
        <v>0.545454545454545</v>
      </c>
      <c r="AO123" s="6" t="n">
        <f aca="false">VLOOKUP($E123,Role!$A$2:$O$9,5,0)</f>
        <v>0.666</v>
      </c>
      <c r="AP123" s="6" t="n">
        <f aca="false">VLOOKUP($F123,Category!$A$2:$AZ$20,9,0)</f>
        <v>0.222222222222222</v>
      </c>
      <c r="AQ123" s="6" t="n">
        <f aca="false">VLOOKUP($F123,Category!$A$2:$AZ$20,11,0)</f>
        <v>0.444444444444444</v>
      </c>
      <c r="AR123" s="6" t="n">
        <f aca="false">VLOOKUP($F123,Category!$A$2:$AZ$20,10,0)</f>
        <v>0.666666666666667</v>
      </c>
      <c r="AS123" s="6" t="n">
        <f aca="false">VLOOKUP($E123,Role!$A$2:$O$9,4,0)</f>
        <v>0.666</v>
      </c>
      <c r="AT123" s="7" t="n">
        <f aca="false">VLOOKUP($F123,Category!$A$2:$AZ$20,14,0)</f>
        <v>0.416666666666667</v>
      </c>
      <c r="AU123" s="7" t="n">
        <f aca="false">VLOOKUP($F123,Category!$A$2:$AZ$20,16,0)</f>
        <v>0.25</v>
      </c>
      <c r="AV123" s="7" t="n">
        <f aca="false">VLOOKUP($D123,Size!$A$2:$Z$14,17,0)</f>
        <v>2</v>
      </c>
      <c r="AW123" s="7" t="n">
        <f aca="false">VLOOKUP($E123,Role!$A$2:$O$9,3,0)</f>
        <v>0.666</v>
      </c>
      <c r="AX123" s="7" t="n">
        <f aca="false">VLOOKUP($F123,Category!$A$2:$AZ$20,29,0)</f>
        <v>0.333333333333333</v>
      </c>
      <c r="AY123" s="7" t="n">
        <f aca="false">VLOOKUP($F123,Category!$A$2:$AZ$20,31,0)</f>
        <v>0.444444444444444</v>
      </c>
      <c r="AZ123" s="7" t="n">
        <f aca="false">VLOOKUP($D123,Size!$A$2:$Z$14,16,0)</f>
        <v>5</v>
      </c>
      <c r="BA123" s="7" t="n">
        <f aca="false">VLOOKUP($E123,Role!$A$2:$O$9,2,0)</f>
        <v>0.666</v>
      </c>
      <c r="BC123" s="7" t="n">
        <f aca="false">VLOOKUP($D123,Size!$A$2:$Z$14,19,0)</f>
        <v>22</v>
      </c>
      <c r="BD123" s="7" t="n">
        <f aca="false">VLOOKUP($D123,Size!$A$2:$Z$14,20,0)</f>
        <v>6</v>
      </c>
      <c r="BE123" s="7" t="n">
        <f aca="false">VLOOKUP($E123,Role!$A$2:$O$9,12,0)</f>
        <v>1.25</v>
      </c>
      <c r="BF123" s="7" t="n">
        <f aca="false">VLOOKUP($C123,Type!$A$2:$B$4,2,0)</f>
        <v>1</v>
      </c>
      <c r="BG123" s="7" t="n">
        <f aca="false">VLOOKUP($D123,Size!$A$2:$Z$14,18,0)</f>
        <v>46.4833054890161</v>
      </c>
      <c r="BH123" s="7" t="n">
        <f aca="false">INT($BF123*$BG123*$BE123*$B123/2)</f>
        <v>145</v>
      </c>
      <c r="BI123" s="7" t="n">
        <f aca="false">INT(($BC123*$BF123)+($I123*$BD123))</f>
        <v>64</v>
      </c>
      <c r="BJ123" s="7" t="n">
        <f aca="false">INT((($I123*$BE123)+$BC123)*$BF123)</f>
        <v>30</v>
      </c>
      <c r="BK123" s="14"/>
      <c r="BL123" s="7" t="n">
        <f aca="false">VLOOKUP($E123,Role!$A$2:$O$9,13,0)</f>
        <v>1.25</v>
      </c>
      <c r="BM123" s="7" t="n">
        <f aca="false">VLOOKUP($E123,Role!$A$2:$O$9,11,0)</f>
        <v>0.666</v>
      </c>
      <c r="BO123" s="7" t="n">
        <f aca="false">VLOOKUP($E123,Role!$A$2:$O$9,8,0)</f>
        <v>0.75</v>
      </c>
      <c r="BP123" s="7" t="n">
        <f aca="false">VLOOKUP($E123,Role!$A$2:$O$9,9,0)</f>
        <v>0.75</v>
      </c>
      <c r="BQ123" s="7" t="n">
        <f aca="false">VLOOKUP($E123,Role!$A$2:$O$9,10,0)</f>
        <v>0.5</v>
      </c>
    </row>
    <row r="124" customFormat="false" ht="12.8" hidden="false" customHeight="false" outlineLevel="0" collapsed="false">
      <c r="C124" s="3" t="s">
        <v>63</v>
      </c>
      <c r="E124" s="1" t="s">
        <v>70</v>
      </c>
      <c r="H124" s="4" t="e">
        <f aca="false">VLOOKUP($D124,Size!$A$2:$Z$14,6,0)</f>
        <v>#N/A</v>
      </c>
      <c r="I124" s="13" t="e">
        <f aca="false">INT(($B124*$AZ124*$AX124*$BA124)+($B124*$AY124))</f>
        <v>#N/A</v>
      </c>
      <c r="J124" s="4" t="e">
        <f aca="false">ROUND((($B124*$AT124)+($AV124*$AU124))*$AW124,0)</f>
        <v>#N/A</v>
      </c>
      <c r="K124" s="4" t="e">
        <f aca="false">ROUND((($B124*$AP124)+($B124*$AQ124))*$AS124,0)</f>
        <v>#N/A</v>
      </c>
      <c r="L124" s="4" t="e">
        <f aca="false">ROUND((($B124*$AM124)+($B124*$AN124))*$AO124,0)</f>
        <v>#N/A</v>
      </c>
      <c r="M124" s="4" t="e">
        <f aca="false">ROUND((($B124*$AG124)+($B124*$AH124))*$AI124,0)</f>
        <v>#N/A</v>
      </c>
      <c r="N124" s="4" t="e">
        <f aca="false">ROUND((($B124*$AJ124)+($B124*$AK124))*$AL124,0)</f>
        <v>#N/A</v>
      </c>
      <c r="O124" s="4" t="n">
        <f aca="false">INT($BO124*$B124)</f>
        <v>0</v>
      </c>
      <c r="P124" s="4" t="n">
        <f aca="false">INT($BP124*$B124)</f>
        <v>0</v>
      </c>
      <c r="Q124" s="4" t="e">
        <f aca="false">INT($BQ124*$B124*$AR124)</f>
        <v>#N/A</v>
      </c>
      <c r="R124" s="4" t="e">
        <f aca="false">IF($R$1="WT/G",INT(POWER($BH124*$BJ124*$BI124,0.333333)),0)+IF($R$1="WT/A",INT(($BH124+$BJ124+$BI124)/3),0)+IF($R$1="WT/A2",INT(($BJ124+$BI124)/2),0)+IF($R$1="WT/W",INT(($BH124+$BJ124+$BJ124+$BI124)/4),0)+IF($R$1="WT/W2",INT(($BH124+$BJ124+$BI124+$BI124)/4),0)+IF($R$1="WT/N",INT(MIN($BH124,$BJ124,$BI124)),0)+IF($R$1="WT/M",INT(MAX($BH124,$BJ124,$BI124)),0)+IF($R$1="WT/1",INT($BH124),0)+IF($R$1="WT/2",INT($BI124),0)+IF($R$1="WT/3",INT($BJ124),0)</f>
        <v>#N/A</v>
      </c>
      <c r="S124" s="4" t="e">
        <f aca="false">INT((10+$M124)*$BL124)</f>
        <v>#N/A</v>
      </c>
      <c r="T124" s="4" t="e">
        <f aca="false">INT($I124*$BM124*$BF124)</f>
        <v>#N/A</v>
      </c>
      <c r="U124" s="2" t="e">
        <f aca="false">ROUND(MAX($J124,$L124)+(MIN($J124,$L124)*$X124),0)</f>
        <v>#N/A</v>
      </c>
      <c r="V124" s="2" t="e">
        <f aca="false">MAX(1,INT(((MIN($I124:$J124)+(MAX($I124:$J124)*$H124*$Y124)))*$Z124))</f>
        <v>#N/A</v>
      </c>
      <c r="X124" s="5" t="n">
        <f aca="false">VLOOKUP($E124,Role!$A$2:$O$9,14,0)</f>
        <v>1</v>
      </c>
      <c r="Y124" s="5" t="n">
        <f aca="false">VLOOKUP($E124,Role!$A$2:$O$9,15,0)</f>
        <v>1</v>
      </c>
      <c r="Z124" s="5" t="e">
        <f aca="false">VLOOKUP($G124,Movement!$A$2:$C$7,3,0)</f>
        <v>#N/A</v>
      </c>
      <c r="AB124" s="5" t="e">
        <f aca="false">INT(5+(($H124-1)/3))</f>
        <v>#N/A</v>
      </c>
      <c r="AC124" s="5" t="e">
        <f aca="false">IF($AB124&lt;$I124,$I124-MAX($AB124,$B124),0)</f>
        <v>#N/A</v>
      </c>
      <c r="AD124" s="5" t="e">
        <f aca="false">(5-ROUND(($H124-1)/3,0))</f>
        <v>#N/A</v>
      </c>
      <c r="AE124" s="5" t="e">
        <f aca="false">IF($AD124&lt;$J124,$J124-MAX($AD124,$B124),0)</f>
        <v>#N/A</v>
      </c>
      <c r="AG124" s="6" t="e">
        <f aca="false">VLOOKUP($F124,Category!$A$2:$AZ$20,24,0)</f>
        <v>#N/A</v>
      </c>
      <c r="AH124" s="6" t="e">
        <f aca="false">VLOOKUP($F124,Category!$A$2:$AZ$20,26,0)</f>
        <v>#N/A</v>
      </c>
      <c r="AI124" s="6" t="n">
        <f aca="false">VLOOKUP($E124,Role!$A$2:$O$9,6,0)</f>
        <v>0.666</v>
      </c>
      <c r="AJ124" s="6" t="e">
        <f aca="false">VLOOKUP($F124,Category!$A$2:$AZ$20,19,0)</f>
        <v>#N/A</v>
      </c>
      <c r="AK124" s="6" t="e">
        <f aca="false">VLOOKUP($F124,Category!$A$2:$AZ$20,21,0)</f>
        <v>#N/A</v>
      </c>
      <c r="AL124" s="6" t="n">
        <f aca="false">VLOOKUP($E124,Role!$A$2:$O$9,7,0)</f>
        <v>0.666</v>
      </c>
      <c r="AM124" s="6" t="e">
        <f aca="false">VLOOKUP($F124,Category!$A$2:$AZ$20,19,0)</f>
        <v>#N/A</v>
      </c>
      <c r="AN124" s="6" t="e">
        <f aca="false">VLOOKUP($F124,Category!$A$2:$AZ$20,21,0)</f>
        <v>#N/A</v>
      </c>
      <c r="AO124" s="6" t="n">
        <f aca="false">VLOOKUP($E124,Role!$A$2:$O$9,5,0)</f>
        <v>0.666</v>
      </c>
      <c r="AP124" s="6" t="e">
        <f aca="false">VLOOKUP($F124,Category!$A$2:$AZ$20,9,0)</f>
        <v>#N/A</v>
      </c>
      <c r="AQ124" s="6" t="e">
        <f aca="false">VLOOKUP($F124,Category!$A$2:$AZ$20,11,0)</f>
        <v>#N/A</v>
      </c>
      <c r="AR124" s="6" t="e">
        <f aca="false">VLOOKUP($F124,Category!$A$2:$AZ$20,10,0)</f>
        <v>#N/A</v>
      </c>
      <c r="AS124" s="6" t="n">
        <f aca="false">VLOOKUP($E124,Role!$A$2:$O$9,4,0)</f>
        <v>0.666</v>
      </c>
      <c r="AT124" s="7" t="e">
        <f aca="false">VLOOKUP($F124,Category!$A$2:$AZ$20,14,0)</f>
        <v>#N/A</v>
      </c>
      <c r="AU124" s="7" t="e">
        <f aca="false">VLOOKUP($F124,Category!$A$2:$AZ$20,16,0)</f>
        <v>#N/A</v>
      </c>
      <c r="AV124" s="7" t="e">
        <f aca="false">VLOOKUP($D124,Size!$A$2:$Z$14,17,0)</f>
        <v>#N/A</v>
      </c>
      <c r="AW124" s="7" t="n">
        <f aca="false">VLOOKUP($E124,Role!$A$2:$O$9,3,0)</f>
        <v>0.666</v>
      </c>
      <c r="AX124" s="7" t="e">
        <f aca="false">VLOOKUP($F124,Category!$A$2:$AZ$20,29,0)</f>
        <v>#N/A</v>
      </c>
      <c r="AY124" s="7" t="e">
        <f aca="false">VLOOKUP($F124,Category!$A$2:$AZ$20,31,0)</f>
        <v>#N/A</v>
      </c>
      <c r="AZ124" s="7" t="e">
        <f aca="false">VLOOKUP($D124,Size!$A$2:$Z$14,16,0)</f>
        <v>#N/A</v>
      </c>
      <c r="BA124" s="7" t="n">
        <f aca="false">VLOOKUP($E124,Role!$A$2:$O$9,2,0)</f>
        <v>0.666</v>
      </c>
      <c r="BC124" s="7" t="e">
        <f aca="false">VLOOKUP($D124,Size!$A$2:$Z$14,19,0)</f>
        <v>#N/A</v>
      </c>
      <c r="BD124" s="7" t="e">
        <f aca="false">VLOOKUP($D124,Size!$A$2:$Z$14,20,0)</f>
        <v>#N/A</v>
      </c>
      <c r="BE124" s="7" t="n">
        <f aca="false">VLOOKUP($E124,Role!$A$2:$O$9,12,0)</f>
        <v>1.25</v>
      </c>
      <c r="BF124" s="7" t="n">
        <f aca="false">VLOOKUP($C124,Type!$A$2:$B$4,2,0)</f>
        <v>1</v>
      </c>
      <c r="BG124" s="7" t="e">
        <f aca="false">VLOOKUP($D124,Size!$A$2:$Z$14,18,0)</f>
        <v>#N/A</v>
      </c>
      <c r="BH124" s="7" t="e">
        <f aca="false">INT($BF124*$BG124*$BE124*$B124/2)</f>
        <v>#N/A</v>
      </c>
      <c r="BI124" s="7" t="e">
        <f aca="false">INT(($BC124*$BF124)+($I124*$BD124))</f>
        <v>#N/A</v>
      </c>
      <c r="BJ124" s="7" t="e">
        <f aca="false">INT((($I124*$BE124)+$BC124)*$BF124)</f>
        <v>#N/A</v>
      </c>
      <c r="BK124" s="14"/>
      <c r="BL124" s="7" t="n">
        <f aca="false">VLOOKUP($E124,Role!$A$2:$O$9,13,0)</f>
        <v>1.25</v>
      </c>
      <c r="BM124" s="7" t="n">
        <f aca="false">VLOOKUP($E124,Role!$A$2:$O$9,11,0)</f>
        <v>0.666</v>
      </c>
      <c r="BO124" s="7" t="n">
        <f aca="false">VLOOKUP($E124,Role!$A$2:$O$9,8,0)</f>
        <v>0.75</v>
      </c>
      <c r="BP124" s="7" t="n">
        <f aca="false">VLOOKUP($E124,Role!$A$2:$O$9,9,0)</f>
        <v>0.75</v>
      </c>
      <c r="BQ124" s="7" t="n">
        <f aca="false">VLOOKUP($E124,Role!$A$2:$O$9,10,0)</f>
        <v>0.5</v>
      </c>
    </row>
    <row r="125" customFormat="false" ht="12.8" hidden="false" customHeight="false" outlineLevel="0" collapsed="false">
      <c r="B125" s="2" t="n">
        <v>5</v>
      </c>
      <c r="C125" s="3" t="s">
        <v>63</v>
      </c>
      <c r="D125" s="1" t="s">
        <v>78</v>
      </c>
      <c r="E125" s="1" t="s">
        <v>70</v>
      </c>
      <c r="F125" s="1" t="s">
        <v>93</v>
      </c>
      <c r="G125" s="1" t="s">
        <v>80</v>
      </c>
      <c r="H125" s="4" t="n">
        <f aca="false">VLOOKUP($D125,Size!$A$2:$Z$14,6,0)</f>
        <v>-3</v>
      </c>
      <c r="I125" s="13" t="n">
        <f aca="false">INT(($B125*$AZ125*$AX125*$BA125)+($B125*$AY125))</f>
        <v>2</v>
      </c>
      <c r="J125" s="4" t="n">
        <f aca="false">ROUND((($B125*$AT125)+($AV125*$AU125))*$AW125,0)</f>
        <v>2</v>
      </c>
      <c r="K125" s="4" t="n">
        <f aca="false">ROUND((($B125*$AP125)+($B125*$AQ125))*$AS125,0)</f>
        <v>2</v>
      </c>
      <c r="L125" s="4" t="n">
        <f aca="false">ROUND((($B125*$AM125)+($B125*$AN125))*$AO125,0)</f>
        <v>2</v>
      </c>
      <c r="M125" s="4" t="n">
        <f aca="false">ROUND((($B125*$AG125)+($B125*$AH125))*$AI125,0)</f>
        <v>4</v>
      </c>
      <c r="N125" s="4" t="n">
        <f aca="false">ROUND((($B125*$AJ125)+($B125*$AK125))*$AL125,0)</f>
        <v>2</v>
      </c>
      <c r="O125" s="4" t="n">
        <f aca="false">INT($BO125*$B125)</f>
        <v>3</v>
      </c>
      <c r="P125" s="4" t="n">
        <f aca="false">INT($BP125*$B125)</f>
        <v>3</v>
      </c>
      <c r="Q125" s="4" t="n">
        <f aca="false">INT($BQ125*$B125*$AR125)</f>
        <v>1</v>
      </c>
      <c r="R125" s="4" t="n">
        <f aca="false">IF($R$1="WT/G",INT(POWER($BH125*$BJ125*$BI125,0.333333)),0)+IF($R$1="WT/A",INT(($BH125+$BJ125+$BI125)/3),0)+IF($R$1="WT/A2",INT(($BJ125+$BI125)/2),0)+IF($R$1="WT/W",INT(($BH125+$BJ125+$BJ125+$BI125)/4),0)+IF($R$1="WT/W2",INT(($BH125+$BJ125+$BI125+$BI125)/4),0)+IF($R$1="WT/N",INT(MIN($BH125,$BJ125,$BI125)),0)+IF($R$1="WT/M",INT(MAX($BH125,$BJ125,$BI125)),0)+IF($R$1="WT/1",INT($BH125),0)+IF($R$1="WT/2",INT($BI125),0)+IF($R$1="WT/3",INT($BJ125),0)</f>
        <v>7</v>
      </c>
      <c r="S125" s="4" t="n">
        <f aca="false">INT((10+$M125)*$BL125)</f>
        <v>17</v>
      </c>
      <c r="T125" s="4" t="n">
        <f aca="false">INT($I125*$BM125*$BF125)</f>
        <v>1</v>
      </c>
      <c r="U125" s="2" t="n">
        <f aca="false">ROUND(MAX($J125,$L125)+(MIN($J125,$L125)*$X125),0)</f>
        <v>4</v>
      </c>
      <c r="V125" s="2" t="n">
        <f aca="false">MAX(1,INT(((MIN($I125:$J125)+(MAX($I125:$J125)*$H125*$Y125)))*$Z125))</f>
        <v>1</v>
      </c>
      <c r="X125" s="5" t="n">
        <f aca="false">VLOOKUP($E125,Role!$A$2:$O$9,14,0)</f>
        <v>1</v>
      </c>
      <c r="Y125" s="5" t="n">
        <f aca="false">VLOOKUP($E125,Role!$A$2:$O$9,15,0)</f>
        <v>1</v>
      </c>
      <c r="Z125" s="5" t="n">
        <f aca="false">VLOOKUP($G125,Movement!$A$2:$C$7,3,0)</f>
        <v>1.5</v>
      </c>
      <c r="AB125" s="5" t="n">
        <f aca="false">INT(5+(($H125-1)/3))</f>
        <v>3</v>
      </c>
      <c r="AC125" s="5" t="n">
        <f aca="false">IF($AB125&lt;$I125,$I125-MAX($AB125,$B125),0)</f>
        <v>0</v>
      </c>
      <c r="AD125" s="5" t="n">
        <f aca="false">(5-ROUND(($H125-1)/3,0))</f>
        <v>6</v>
      </c>
      <c r="AE125" s="5" t="n">
        <f aca="false">IF($AD125&lt;$J125,$J125-MAX($AD125,$B125),0)</f>
        <v>0</v>
      </c>
      <c r="AG125" s="6" t="n">
        <f aca="false">VLOOKUP($F125,Category!$A$2:$AZ$20,24,0)</f>
        <v>0</v>
      </c>
      <c r="AH125" s="6" t="n">
        <f aca="false">VLOOKUP($F125,Category!$A$2:$AZ$20,26,0)</f>
        <v>1.11111111111111</v>
      </c>
      <c r="AI125" s="6" t="n">
        <f aca="false">VLOOKUP($E125,Role!$A$2:$O$9,6,0)</f>
        <v>0.666</v>
      </c>
      <c r="AJ125" s="6" t="n">
        <f aca="false">VLOOKUP($F125,Category!$A$2:$AZ$20,19,0)</f>
        <v>0.181818181818182</v>
      </c>
      <c r="AK125" s="6" t="n">
        <f aca="false">VLOOKUP($F125,Category!$A$2:$AZ$20,21,0)</f>
        <v>0.454545454545455</v>
      </c>
      <c r="AL125" s="6" t="n">
        <f aca="false">VLOOKUP($E125,Role!$A$2:$O$9,7,0)</f>
        <v>0.666</v>
      </c>
      <c r="AM125" s="6" t="n">
        <f aca="false">VLOOKUP($F125,Category!$A$2:$AZ$20,19,0)</f>
        <v>0.181818181818182</v>
      </c>
      <c r="AN125" s="6" t="n">
        <f aca="false">VLOOKUP($F125,Category!$A$2:$AZ$20,21,0)</f>
        <v>0.454545454545455</v>
      </c>
      <c r="AO125" s="6" t="n">
        <f aca="false">VLOOKUP($E125,Role!$A$2:$O$9,5,0)</f>
        <v>0.666</v>
      </c>
      <c r="AP125" s="6" t="n">
        <f aca="false">VLOOKUP($F125,Category!$A$2:$AZ$20,9,0)</f>
        <v>0.222222222222222</v>
      </c>
      <c r="AQ125" s="6" t="n">
        <f aca="false">VLOOKUP($F125,Category!$A$2:$AZ$20,11,0)</f>
        <v>0.444444444444444</v>
      </c>
      <c r="AR125" s="6" t="n">
        <f aca="false">VLOOKUP($F125,Category!$A$2:$AZ$20,10,0)</f>
        <v>0.666666666666667</v>
      </c>
      <c r="AS125" s="6" t="n">
        <f aca="false">VLOOKUP($E125,Role!$A$2:$O$9,4,0)</f>
        <v>0.666</v>
      </c>
      <c r="AT125" s="7" t="n">
        <f aca="false">VLOOKUP($F125,Category!$A$2:$AZ$20,14,0)</f>
        <v>0.333333333333333</v>
      </c>
      <c r="AU125" s="7" t="n">
        <f aca="false">VLOOKUP($F125,Category!$A$2:$AZ$20,16,0)</f>
        <v>0.416666666666667</v>
      </c>
      <c r="AV125" s="7" t="n">
        <f aca="false">VLOOKUP($D125,Size!$A$2:$Z$14,17,0)</f>
        <v>4</v>
      </c>
      <c r="AW125" s="7" t="n">
        <f aca="false">VLOOKUP($E125,Role!$A$2:$O$9,3,0)</f>
        <v>0.666</v>
      </c>
      <c r="AX125" s="7" t="n">
        <f aca="false">VLOOKUP($F125,Category!$A$2:$AZ$20,29,0)</f>
        <v>0.333333333333333</v>
      </c>
      <c r="AY125" s="7" t="n">
        <f aca="false">VLOOKUP($F125,Category!$A$2:$AZ$20,31,0)</f>
        <v>0.333333333333333</v>
      </c>
      <c r="AZ125" s="7" t="n">
        <f aca="false">VLOOKUP($D125,Size!$A$2:$Z$14,16,0)</f>
        <v>1</v>
      </c>
      <c r="BA125" s="7" t="n">
        <f aca="false">VLOOKUP($E125,Role!$A$2:$O$9,2,0)</f>
        <v>0.666</v>
      </c>
      <c r="BC125" s="7" t="n">
        <f aca="false">VLOOKUP($D125,Size!$A$2:$Z$14,19,0)</f>
        <v>6</v>
      </c>
      <c r="BD125" s="7" t="n">
        <f aca="false">VLOOKUP($D125,Size!$A$2:$Z$14,20,0)</f>
        <v>0.33</v>
      </c>
      <c r="BE125" s="7" t="n">
        <f aca="false">VLOOKUP($E125,Role!$A$2:$O$9,12,0)</f>
        <v>1.25</v>
      </c>
      <c r="BF125" s="7" t="n">
        <f aca="false">VLOOKUP($C125,Type!$A$2:$B$4,2,0)</f>
        <v>1</v>
      </c>
      <c r="BG125" s="7" t="n">
        <f aca="false">VLOOKUP($D125,Size!$A$2:$Z$14,18,0)</f>
        <v>2.71683715631514</v>
      </c>
      <c r="BH125" s="7" t="n">
        <f aca="false">INT($BF125*$BG125*$BE125*$B125/2)</f>
        <v>8</v>
      </c>
      <c r="BI125" s="7" t="n">
        <f aca="false">INT(($BC125*$BF125)+($I125*$BD125))</f>
        <v>6</v>
      </c>
      <c r="BJ125" s="7" t="n">
        <f aca="false">INT((($I125*$BE125)+$BC125)*$BF125)</f>
        <v>8</v>
      </c>
      <c r="BK125" s="14"/>
      <c r="BL125" s="7" t="n">
        <f aca="false">VLOOKUP($E125,Role!$A$2:$O$9,13,0)</f>
        <v>1.25</v>
      </c>
      <c r="BM125" s="7" t="n">
        <f aca="false">VLOOKUP($E125,Role!$A$2:$O$9,11,0)</f>
        <v>0.666</v>
      </c>
      <c r="BO125" s="7" t="n">
        <f aca="false">VLOOKUP($E125,Role!$A$2:$O$9,8,0)</f>
        <v>0.75</v>
      </c>
      <c r="BP125" s="7" t="n">
        <f aca="false">VLOOKUP($E125,Role!$A$2:$O$9,9,0)</f>
        <v>0.75</v>
      </c>
      <c r="BQ125" s="7" t="n">
        <f aca="false">VLOOKUP($E125,Role!$A$2:$O$9,10,0)</f>
        <v>0.5</v>
      </c>
    </row>
    <row r="126" customFormat="false" ht="12.8" hidden="false" customHeight="false" outlineLevel="0" collapsed="false">
      <c r="B126" s="2" t="n">
        <v>5</v>
      </c>
      <c r="C126" s="3" t="s">
        <v>63</v>
      </c>
      <c r="D126" s="1" t="s">
        <v>81</v>
      </c>
      <c r="E126" s="1" t="s">
        <v>70</v>
      </c>
      <c r="F126" s="1" t="s">
        <v>93</v>
      </c>
      <c r="G126" s="1" t="s">
        <v>80</v>
      </c>
      <c r="H126" s="4" t="n">
        <f aca="false">VLOOKUP($D126,Size!$A$2:$Z$14,6,0)</f>
        <v>-2</v>
      </c>
      <c r="I126" s="13" t="n">
        <f aca="false">INT(($B126*$AZ126*$AX126*$BA126)+($B126*$AY126))</f>
        <v>3</v>
      </c>
      <c r="J126" s="4" t="n">
        <f aca="false">ROUND((($B126*$AT126)+($AV126*$AU126))*$AW126,0)</f>
        <v>2</v>
      </c>
      <c r="K126" s="4" t="n">
        <f aca="false">ROUND((($B126*$AP126)+($B126*$AQ126))*$AS126,0)</f>
        <v>2</v>
      </c>
      <c r="L126" s="4" t="n">
        <f aca="false">ROUND((($B126*$AM126)+($B126*$AN126))*$AO126,0)</f>
        <v>2</v>
      </c>
      <c r="M126" s="4" t="n">
        <f aca="false">ROUND((($B126*$AG126)+($B126*$AH126))*$AI126,0)</f>
        <v>4</v>
      </c>
      <c r="N126" s="4" t="n">
        <f aca="false">ROUND((($B126*$AJ126)+($B126*$AK126))*$AL126,0)</f>
        <v>2</v>
      </c>
      <c r="O126" s="4" t="n">
        <f aca="false">INT($BO126*$B126)</f>
        <v>3</v>
      </c>
      <c r="P126" s="4" t="n">
        <f aca="false">INT($BP126*$B126)</f>
        <v>3</v>
      </c>
      <c r="Q126" s="4" t="n">
        <f aca="false">INT($BQ126*$B126*$AR126)</f>
        <v>1</v>
      </c>
      <c r="R126" s="4" t="n">
        <f aca="false">IF($R$1="WT/G",INT(POWER($BH126*$BJ126*$BI126,0.333333)),0)+IF($R$1="WT/A",INT(($BH126+$BJ126+$BI126)/3),0)+IF($R$1="WT/A2",INT(($BJ126+$BI126)/2),0)+IF($R$1="WT/W",INT(($BH126+$BJ126+$BJ126+$BI126)/4),0)+IF($R$1="WT/W2",INT(($BH126+$BJ126+$BI126+$BI126)/4),0)+IF($R$1="WT/N",INT(MIN($BH126,$BJ126,$BI126)),0)+IF($R$1="WT/M",INT(MAX($BH126,$BJ126,$BI126)),0)+IF($R$1="WT/1",INT($BH126),0)+IF($R$1="WT/2",INT($BI126),0)+IF($R$1="WT/3",INT($BJ126),0)</f>
        <v>11</v>
      </c>
      <c r="S126" s="4" t="n">
        <f aca="false">INT((10+$M126)*$BL126)</f>
        <v>17</v>
      </c>
      <c r="T126" s="4" t="n">
        <f aca="false">INT($I126*$BM126*$BF126)</f>
        <v>1</v>
      </c>
      <c r="U126" s="2" t="n">
        <f aca="false">ROUND(MAX($J126,$L126)+(MIN($J126,$L126)*$X126),0)</f>
        <v>4</v>
      </c>
      <c r="V126" s="2" t="n">
        <f aca="false">MAX(1,INT(((MIN($I126:$J126)+(MAX($I126:$J126)*$H126*$Y126)))*$Z126))</f>
        <v>1</v>
      </c>
      <c r="X126" s="5" t="n">
        <f aca="false">VLOOKUP($E126,Role!$A$2:$O$9,14,0)</f>
        <v>1</v>
      </c>
      <c r="Y126" s="5" t="n">
        <f aca="false">VLOOKUP($E126,Role!$A$2:$O$9,15,0)</f>
        <v>1</v>
      </c>
      <c r="Z126" s="5" t="n">
        <f aca="false">VLOOKUP($G126,Movement!$A$2:$C$7,3,0)</f>
        <v>1.5</v>
      </c>
      <c r="AB126" s="5" t="n">
        <f aca="false">INT(5+(($H126-1)/3))</f>
        <v>4</v>
      </c>
      <c r="AC126" s="5" t="n">
        <f aca="false">IF($AB126&lt;$I126,$I126-MAX($AB126,$B126),0)</f>
        <v>0</v>
      </c>
      <c r="AD126" s="5" t="n">
        <f aca="false">(5-ROUND(($H126-1)/3,0))</f>
        <v>6</v>
      </c>
      <c r="AE126" s="5" t="n">
        <f aca="false">IF($AD126&lt;$J126,$J126-MAX($AD126,$B126),0)</f>
        <v>0</v>
      </c>
      <c r="AG126" s="6" t="n">
        <f aca="false">VLOOKUP($F126,Category!$A$2:$AZ$20,24,0)</f>
        <v>0</v>
      </c>
      <c r="AH126" s="6" t="n">
        <f aca="false">VLOOKUP($F126,Category!$A$2:$AZ$20,26,0)</f>
        <v>1.11111111111111</v>
      </c>
      <c r="AI126" s="6" t="n">
        <f aca="false">VLOOKUP($E126,Role!$A$2:$O$9,6,0)</f>
        <v>0.666</v>
      </c>
      <c r="AJ126" s="6" t="n">
        <f aca="false">VLOOKUP($F126,Category!$A$2:$AZ$20,19,0)</f>
        <v>0.181818181818182</v>
      </c>
      <c r="AK126" s="6" t="n">
        <f aca="false">VLOOKUP($F126,Category!$A$2:$AZ$20,21,0)</f>
        <v>0.454545454545455</v>
      </c>
      <c r="AL126" s="6" t="n">
        <f aca="false">VLOOKUP($E126,Role!$A$2:$O$9,7,0)</f>
        <v>0.666</v>
      </c>
      <c r="AM126" s="6" t="n">
        <f aca="false">VLOOKUP($F126,Category!$A$2:$AZ$20,19,0)</f>
        <v>0.181818181818182</v>
      </c>
      <c r="AN126" s="6" t="n">
        <f aca="false">VLOOKUP($F126,Category!$A$2:$AZ$20,21,0)</f>
        <v>0.454545454545455</v>
      </c>
      <c r="AO126" s="6" t="n">
        <f aca="false">VLOOKUP($E126,Role!$A$2:$O$9,5,0)</f>
        <v>0.666</v>
      </c>
      <c r="AP126" s="6" t="n">
        <f aca="false">VLOOKUP($F126,Category!$A$2:$AZ$20,9,0)</f>
        <v>0.222222222222222</v>
      </c>
      <c r="AQ126" s="6" t="n">
        <f aca="false">VLOOKUP($F126,Category!$A$2:$AZ$20,11,0)</f>
        <v>0.444444444444444</v>
      </c>
      <c r="AR126" s="6" t="n">
        <f aca="false">VLOOKUP($F126,Category!$A$2:$AZ$20,10,0)</f>
        <v>0.666666666666667</v>
      </c>
      <c r="AS126" s="6" t="n">
        <f aca="false">VLOOKUP($E126,Role!$A$2:$O$9,4,0)</f>
        <v>0.666</v>
      </c>
      <c r="AT126" s="7" t="n">
        <f aca="false">VLOOKUP($F126,Category!$A$2:$AZ$20,14,0)</f>
        <v>0.333333333333333</v>
      </c>
      <c r="AU126" s="7" t="n">
        <f aca="false">VLOOKUP($F126,Category!$A$2:$AZ$20,16,0)</f>
        <v>0.416666666666667</v>
      </c>
      <c r="AV126" s="7" t="n">
        <f aca="false">VLOOKUP($D126,Size!$A$2:$Z$14,17,0)</f>
        <v>3</v>
      </c>
      <c r="AW126" s="7" t="n">
        <f aca="false">VLOOKUP($E126,Role!$A$2:$O$9,3,0)</f>
        <v>0.666</v>
      </c>
      <c r="AX126" s="7" t="n">
        <f aca="false">VLOOKUP($F126,Category!$A$2:$AZ$20,29,0)</f>
        <v>0.333333333333333</v>
      </c>
      <c r="AY126" s="7" t="n">
        <f aca="false">VLOOKUP($F126,Category!$A$2:$AZ$20,31,0)</f>
        <v>0.333333333333333</v>
      </c>
      <c r="AZ126" s="7" t="n">
        <f aca="false">VLOOKUP($D126,Size!$A$2:$Z$14,16,0)</f>
        <v>2</v>
      </c>
      <c r="BA126" s="7" t="n">
        <f aca="false">VLOOKUP($E126,Role!$A$2:$O$9,2,0)</f>
        <v>0.666</v>
      </c>
      <c r="BC126" s="7" t="n">
        <f aca="false">VLOOKUP($D126,Size!$A$2:$Z$14,19,0)</f>
        <v>7</v>
      </c>
      <c r="BD126" s="7" t="n">
        <f aca="false">VLOOKUP($D126,Size!$A$2:$Z$14,20,0)</f>
        <v>0.5</v>
      </c>
      <c r="BE126" s="7" t="n">
        <f aca="false">VLOOKUP($E126,Role!$A$2:$O$9,12,0)</f>
        <v>1.25</v>
      </c>
      <c r="BF126" s="7" t="n">
        <f aca="false">VLOOKUP($C126,Type!$A$2:$B$4,2,0)</f>
        <v>1</v>
      </c>
      <c r="BG126" s="7" t="n">
        <f aca="false">VLOOKUP($D126,Size!$A$2:$Z$14,18,0)</f>
        <v>6.5643914849257</v>
      </c>
      <c r="BH126" s="7" t="n">
        <f aca="false">INT($BF126*$BG126*$BE126*$B126/2)</f>
        <v>20</v>
      </c>
      <c r="BI126" s="7" t="n">
        <f aca="false">INT(($BC126*$BF126)+($I126*$BD126))</f>
        <v>8</v>
      </c>
      <c r="BJ126" s="7" t="n">
        <f aca="false">INT((($I126*$BE126)+$BC126)*$BF126)</f>
        <v>10</v>
      </c>
      <c r="BK126" s="14"/>
      <c r="BL126" s="7" t="n">
        <f aca="false">VLOOKUP($E126,Role!$A$2:$O$9,13,0)</f>
        <v>1.25</v>
      </c>
      <c r="BM126" s="7" t="n">
        <f aca="false">VLOOKUP($E126,Role!$A$2:$O$9,11,0)</f>
        <v>0.666</v>
      </c>
      <c r="BO126" s="7" t="n">
        <f aca="false">VLOOKUP($E126,Role!$A$2:$O$9,8,0)</f>
        <v>0.75</v>
      </c>
      <c r="BP126" s="7" t="n">
        <f aca="false">VLOOKUP($E126,Role!$A$2:$O$9,9,0)</f>
        <v>0.75</v>
      </c>
      <c r="BQ126" s="7" t="n">
        <f aca="false">VLOOKUP($E126,Role!$A$2:$O$9,10,0)</f>
        <v>0.5</v>
      </c>
    </row>
    <row r="127" customFormat="false" ht="12.8" hidden="false" customHeight="false" outlineLevel="0" collapsed="false">
      <c r="B127" s="2" t="n">
        <v>5</v>
      </c>
      <c r="C127" s="3" t="s">
        <v>63</v>
      </c>
      <c r="D127" s="1" t="s">
        <v>82</v>
      </c>
      <c r="E127" s="1" t="s">
        <v>70</v>
      </c>
      <c r="F127" s="1" t="s">
        <v>93</v>
      </c>
      <c r="G127" s="1" t="s">
        <v>80</v>
      </c>
      <c r="H127" s="4" t="n">
        <f aca="false">VLOOKUP($D127,Size!$A$2:$Z$14,6,0)</f>
        <v>-1</v>
      </c>
      <c r="I127" s="13" t="n">
        <f aca="false">INT(($B127*$AZ127*$AX127*$BA127)+($B127*$AY127))</f>
        <v>3</v>
      </c>
      <c r="J127" s="4" t="n">
        <f aca="false">ROUND((($B127*$AT127)+($AV127*$AU127))*$AW127,0)</f>
        <v>2</v>
      </c>
      <c r="K127" s="4" t="n">
        <f aca="false">ROUND((($B127*$AP127)+($B127*$AQ127))*$AS127,0)</f>
        <v>2</v>
      </c>
      <c r="L127" s="4" t="n">
        <f aca="false">ROUND((($B127*$AM127)+($B127*$AN127))*$AO127,0)</f>
        <v>2</v>
      </c>
      <c r="M127" s="4" t="n">
        <f aca="false">ROUND((($B127*$AG127)+($B127*$AH127))*$AI127,0)</f>
        <v>4</v>
      </c>
      <c r="N127" s="4" t="n">
        <f aca="false">ROUND((($B127*$AJ127)+($B127*$AK127))*$AL127,0)</f>
        <v>2</v>
      </c>
      <c r="O127" s="4" t="n">
        <f aca="false">INT($BO127*$B127)</f>
        <v>3</v>
      </c>
      <c r="P127" s="4" t="n">
        <f aca="false">INT($BP127*$B127)</f>
        <v>3</v>
      </c>
      <c r="Q127" s="4" t="n">
        <f aca="false">INT($BQ127*$B127*$AR127)</f>
        <v>1</v>
      </c>
      <c r="R127" s="4" t="n">
        <f aca="false">IF($R$1="WT/G",INT(POWER($BH127*$BJ127*$BI127,0.333333)),0)+IF($R$1="WT/A",INT(($BH127+$BJ127+$BI127)/3),0)+IF($R$1="WT/A2",INT(($BJ127+$BI127)/2),0)+IF($R$1="WT/W",INT(($BH127+$BJ127+$BJ127+$BI127)/4),0)+IF($R$1="WT/W2",INT(($BH127+$BJ127+$BI127+$BI127)/4),0)+IF($R$1="WT/N",INT(MIN($BH127,$BJ127,$BI127)),0)+IF($R$1="WT/M",INT(MAX($BH127,$BJ127,$BI127)),0)+IF($R$1="WT/1",INT($BH127),0)+IF($R$1="WT/2",INT($BI127),0)+IF($R$1="WT/3",INT($BJ127),0)</f>
        <v>13</v>
      </c>
      <c r="S127" s="4" t="n">
        <f aca="false">INT((10+$M127)*$BL127)</f>
        <v>17</v>
      </c>
      <c r="T127" s="4" t="n">
        <f aca="false">INT($I127*$BM127*$BF127)</f>
        <v>1</v>
      </c>
      <c r="U127" s="2" t="n">
        <f aca="false">ROUND(MAX($J127,$L127)+(MIN($J127,$L127)*$X127),0)</f>
        <v>4</v>
      </c>
      <c r="V127" s="2" t="n">
        <f aca="false">MAX(1,INT(((MIN($I127:$J127)+(MAX($I127:$J127)*$H127*$Y127)))*$Z127))</f>
        <v>1</v>
      </c>
      <c r="X127" s="5" t="n">
        <f aca="false">VLOOKUP($E127,Role!$A$2:$O$9,14,0)</f>
        <v>1</v>
      </c>
      <c r="Y127" s="5" t="n">
        <f aca="false">VLOOKUP($E127,Role!$A$2:$O$9,15,0)</f>
        <v>1</v>
      </c>
      <c r="Z127" s="5" t="n">
        <f aca="false">VLOOKUP($G127,Movement!$A$2:$C$7,3,0)</f>
        <v>1.5</v>
      </c>
      <c r="AB127" s="5" t="n">
        <f aca="false">INT(5+(($H127-1)/3))</f>
        <v>4</v>
      </c>
      <c r="AC127" s="5" t="n">
        <f aca="false">IF($AB127&lt;$I127,$I127-MAX($AB127,$B127),0)</f>
        <v>0</v>
      </c>
      <c r="AD127" s="5" t="n">
        <f aca="false">(5-ROUND(($H127-1)/3,0))</f>
        <v>6</v>
      </c>
      <c r="AE127" s="5" t="n">
        <f aca="false">IF($AD127&lt;$J127,$J127-MAX($AD127,$B127),0)</f>
        <v>0</v>
      </c>
      <c r="AG127" s="6" t="n">
        <f aca="false">VLOOKUP($F127,Category!$A$2:$AZ$20,24,0)</f>
        <v>0</v>
      </c>
      <c r="AH127" s="6" t="n">
        <f aca="false">VLOOKUP($F127,Category!$A$2:$AZ$20,26,0)</f>
        <v>1.11111111111111</v>
      </c>
      <c r="AI127" s="6" t="n">
        <f aca="false">VLOOKUP($E127,Role!$A$2:$O$9,6,0)</f>
        <v>0.666</v>
      </c>
      <c r="AJ127" s="6" t="n">
        <f aca="false">VLOOKUP($F127,Category!$A$2:$AZ$20,19,0)</f>
        <v>0.181818181818182</v>
      </c>
      <c r="AK127" s="6" t="n">
        <f aca="false">VLOOKUP($F127,Category!$A$2:$AZ$20,21,0)</f>
        <v>0.454545454545455</v>
      </c>
      <c r="AL127" s="6" t="n">
        <f aca="false">VLOOKUP($E127,Role!$A$2:$O$9,7,0)</f>
        <v>0.666</v>
      </c>
      <c r="AM127" s="6" t="n">
        <f aca="false">VLOOKUP($F127,Category!$A$2:$AZ$20,19,0)</f>
        <v>0.181818181818182</v>
      </c>
      <c r="AN127" s="6" t="n">
        <f aca="false">VLOOKUP($F127,Category!$A$2:$AZ$20,21,0)</f>
        <v>0.454545454545455</v>
      </c>
      <c r="AO127" s="6" t="n">
        <f aca="false">VLOOKUP($E127,Role!$A$2:$O$9,5,0)</f>
        <v>0.666</v>
      </c>
      <c r="AP127" s="6" t="n">
        <f aca="false">VLOOKUP($F127,Category!$A$2:$AZ$20,9,0)</f>
        <v>0.222222222222222</v>
      </c>
      <c r="AQ127" s="6" t="n">
        <f aca="false">VLOOKUP($F127,Category!$A$2:$AZ$20,11,0)</f>
        <v>0.444444444444444</v>
      </c>
      <c r="AR127" s="6" t="n">
        <f aca="false">VLOOKUP($F127,Category!$A$2:$AZ$20,10,0)</f>
        <v>0.666666666666667</v>
      </c>
      <c r="AS127" s="6" t="n">
        <f aca="false">VLOOKUP($E127,Role!$A$2:$O$9,4,0)</f>
        <v>0.666</v>
      </c>
      <c r="AT127" s="7" t="n">
        <f aca="false">VLOOKUP($F127,Category!$A$2:$AZ$20,14,0)</f>
        <v>0.333333333333333</v>
      </c>
      <c r="AU127" s="7" t="n">
        <f aca="false">VLOOKUP($F127,Category!$A$2:$AZ$20,16,0)</f>
        <v>0.416666666666667</v>
      </c>
      <c r="AV127" s="7" t="n">
        <f aca="false">VLOOKUP($D127,Size!$A$2:$Z$14,17,0)</f>
        <v>3</v>
      </c>
      <c r="AW127" s="7" t="n">
        <f aca="false">VLOOKUP($E127,Role!$A$2:$O$9,3,0)</f>
        <v>0.666</v>
      </c>
      <c r="AX127" s="7" t="n">
        <f aca="false">VLOOKUP($F127,Category!$A$2:$AZ$20,29,0)</f>
        <v>0.333333333333333</v>
      </c>
      <c r="AY127" s="7" t="n">
        <f aca="false">VLOOKUP($F127,Category!$A$2:$AZ$20,31,0)</f>
        <v>0.333333333333333</v>
      </c>
      <c r="AZ127" s="7" t="n">
        <f aca="false">VLOOKUP($D127,Size!$A$2:$Z$14,16,0)</f>
        <v>2</v>
      </c>
      <c r="BA127" s="7" t="n">
        <f aca="false">VLOOKUP($E127,Role!$A$2:$O$9,2,0)</f>
        <v>0.666</v>
      </c>
      <c r="BC127" s="7" t="n">
        <f aca="false">VLOOKUP($D127,Size!$A$2:$Z$14,19,0)</f>
        <v>8</v>
      </c>
      <c r="BD127" s="7" t="n">
        <f aca="false">VLOOKUP($D127,Size!$A$2:$Z$14,20,0)</f>
        <v>0.66</v>
      </c>
      <c r="BE127" s="7" t="n">
        <f aca="false">VLOOKUP($E127,Role!$A$2:$O$9,12,0)</f>
        <v>1.25</v>
      </c>
      <c r="BF127" s="7" t="n">
        <f aca="false">VLOOKUP($C127,Type!$A$2:$B$4,2,0)</f>
        <v>1</v>
      </c>
      <c r="BG127" s="7" t="n">
        <f aca="false">VLOOKUP($D127,Size!$A$2:$Z$14,18,0)</f>
        <v>8.28567304322775</v>
      </c>
      <c r="BH127" s="7" t="n">
        <f aca="false">INT($BF127*$BG127*$BE127*$B127/2)</f>
        <v>25</v>
      </c>
      <c r="BI127" s="7" t="n">
        <f aca="false">INT(($BC127*$BF127)+($I127*$BD127))</f>
        <v>9</v>
      </c>
      <c r="BJ127" s="7" t="n">
        <f aca="false">INT((($I127*$BE127)+$BC127)*$BF127)</f>
        <v>11</v>
      </c>
      <c r="BK127" s="14"/>
      <c r="BL127" s="7" t="n">
        <f aca="false">VLOOKUP($E127,Role!$A$2:$O$9,13,0)</f>
        <v>1.25</v>
      </c>
      <c r="BM127" s="7" t="n">
        <f aca="false">VLOOKUP($E127,Role!$A$2:$O$9,11,0)</f>
        <v>0.666</v>
      </c>
      <c r="BO127" s="7" t="n">
        <f aca="false">VLOOKUP($E127,Role!$A$2:$O$9,8,0)</f>
        <v>0.75</v>
      </c>
      <c r="BP127" s="7" t="n">
        <f aca="false">VLOOKUP($E127,Role!$A$2:$O$9,9,0)</f>
        <v>0.75</v>
      </c>
      <c r="BQ127" s="7" t="n">
        <f aca="false">VLOOKUP($E127,Role!$A$2:$O$9,10,0)</f>
        <v>0.5</v>
      </c>
    </row>
    <row r="128" customFormat="false" ht="12.8" hidden="false" customHeight="false" outlineLevel="0" collapsed="false">
      <c r="B128" s="2" t="n">
        <v>5</v>
      </c>
      <c r="C128" s="3" t="s">
        <v>63</v>
      </c>
      <c r="D128" s="1" t="s">
        <v>83</v>
      </c>
      <c r="E128" s="1" t="s">
        <v>70</v>
      </c>
      <c r="F128" s="1" t="s">
        <v>93</v>
      </c>
      <c r="G128" s="1" t="s">
        <v>80</v>
      </c>
      <c r="H128" s="4" t="n">
        <f aca="false">VLOOKUP($D128,Size!$A$2:$Z$14,6,0)</f>
        <v>0</v>
      </c>
      <c r="I128" s="13" t="n">
        <f aca="false">INT(($B128*$AZ128*$AX128*$BA128)+($B128*$AY128))</f>
        <v>3</v>
      </c>
      <c r="J128" s="4" t="n">
        <f aca="false">ROUND((($B128*$AT128)+($AV128*$AU128))*$AW128,0)</f>
        <v>2</v>
      </c>
      <c r="K128" s="4" t="n">
        <f aca="false">ROUND((($B128*$AP128)+($B128*$AQ128))*$AS128,0)</f>
        <v>2</v>
      </c>
      <c r="L128" s="4" t="n">
        <f aca="false">ROUND((($B128*$AM128)+($B128*$AN128))*$AO128,0)</f>
        <v>2</v>
      </c>
      <c r="M128" s="4" t="n">
        <f aca="false">ROUND((($B128*$AG128)+($B128*$AH128))*$AI128,0)</f>
        <v>4</v>
      </c>
      <c r="N128" s="4" t="n">
        <f aca="false">ROUND((($B128*$AJ128)+($B128*$AK128))*$AL128,0)</f>
        <v>2</v>
      </c>
      <c r="O128" s="4" t="n">
        <f aca="false">INT($BO128*$B128)</f>
        <v>3</v>
      </c>
      <c r="P128" s="4" t="n">
        <f aca="false">INT($BP128*$B128)</f>
        <v>3</v>
      </c>
      <c r="Q128" s="4" t="n">
        <f aca="false">INT($BQ128*$B128*$AR128)</f>
        <v>1</v>
      </c>
      <c r="R128" s="4" t="n">
        <f aca="false">IF($R$1="WT/G",INT(POWER($BH128*$BJ128*$BI128,0.333333)),0)+IF($R$1="WT/A",INT(($BH128+$BJ128+$BI128)/3),0)+IF($R$1="WT/A2",INT(($BJ128+$BI128)/2),0)+IF($R$1="WT/W",INT(($BH128+$BJ128+$BJ128+$BI128)/4),0)+IF($R$1="WT/W2",INT(($BH128+$BJ128+$BI128+$BI128)/4),0)+IF($R$1="WT/N",INT(MIN($BH128,$BJ128,$BI128)),0)+IF($R$1="WT/M",INT(MAX($BH128,$BJ128,$BI128)),0)+IF($R$1="WT/1",INT($BH128),0)+IF($R$1="WT/2",INT($BI128),0)+IF($R$1="WT/3",INT($BJ128),0)</f>
        <v>16</v>
      </c>
      <c r="S128" s="4" t="n">
        <f aca="false">INT((10+$M128)*$BL128)</f>
        <v>17</v>
      </c>
      <c r="T128" s="4" t="n">
        <f aca="false">INT($I128*$BM128*$BF128)</f>
        <v>1</v>
      </c>
      <c r="U128" s="2" t="n">
        <f aca="false">ROUND(MAX($J128,$L128)+(MIN($J128,$L128)*$X128),0)</f>
        <v>4</v>
      </c>
      <c r="V128" s="2" t="n">
        <f aca="false">MAX(1,INT(((MIN($I128:$J128)+(MAX($I128:$J128)*$H128*$Y128)))*$Z128))</f>
        <v>3</v>
      </c>
      <c r="X128" s="5" t="n">
        <f aca="false">VLOOKUP($E128,Role!$A$2:$O$9,14,0)</f>
        <v>1</v>
      </c>
      <c r="Y128" s="5" t="n">
        <f aca="false">VLOOKUP($E128,Role!$A$2:$O$9,15,0)</f>
        <v>1</v>
      </c>
      <c r="Z128" s="5" t="n">
        <f aca="false">VLOOKUP($G128,Movement!$A$2:$C$7,3,0)</f>
        <v>1.5</v>
      </c>
      <c r="AB128" s="5" t="n">
        <f aca="false">INT(5+(($H128-1)/3))</f>
        <v>4</v>
      </c>
      <c r="AC128" s="5" t="n">
        <f aca="false">IF($AB128&lt;$I128,$I128-MAX($AB128,$B128),0)</f>
        <v>0</v>
      </c>
      <c r="AD128" s="5" t="n">
        <f aca="false">(5-ROUND(($H128-1)/3,0))</f>
        <v>5</v>
      </c>
      <c r="AE128" s="5" t="n">
        <f aca="false">IF($AD128&lt;$J128,$J128-MAX($AD128,$B128),0)</f>
        <v>0</v>
      </c>
      <c r="AG128" s="6" t="n">
        <f aca="false">VLOOKUP($F128,Category!$A$2:$AZ$20,24,0)</f>
        <v>0</v>
      </c>
      <c r="AH128" s="6" t="n">
        <f aca="false">VLOOKUP($F128,Category!$A$2:$AZ$20,26,0)</f>
        <v>1.11111111111111</v>
      </c>
      <c r="AI128" s="6" t="n">
        <f aca="false">VLOOKUP($E128,Role!$A$2:$O$9,6,0)</f>
        <v>0.666</v>
      </c>
      <c r="AJ128" s="6" t="n">
        <f aca="false">VLOOKUP($F128,Category!$A$2:$AZ$20,19,0)</f>
        <v>0.181818181818182</v>
      </c>
      <c r="AK128" s="6" t="n">
        <f aca="false">VLOOKUP($F128,Category!$A$2:$AZ$20,21,0)</f>
        <v>0.454545454545455</v>
      </c>
      <c r="AL128" s="6" t="n">
        <f aca="false">VLOOKUP($E128,Role!$A$2:$O$9,7,0)</f>
        <v>0.666</v>
      </c>
      <c r="AM128" s="6" t="n">
        <f aca="false">VLOOKUP($F128,Category!$A$2:$AZ$20,19,0)</f>
        <v>0.181818181818182</v>
      </c>
      <c r="AN128" s="6" t="n">
        <f aca="false">VLOOKUP($F128,Category!$A$2:$AZ$20,21,0)</f>
        <v>0.454545454545455</v>
      </c>
      <c r="AO128" s="6" t="n">
        <f aca="false">VLOOKUP($E128,Role!$A$2:$O$9,5,0)</f>
        <v>0.666</v>
      </c>
      <c r="AP128" s="6" t="n">
        <f aca="false">VLOOKUP($F128,Category!$A$2:$AZ$20,9,0)</f>
        <v>0.222222222222222</v>
      </c>
      <c r="AQ128" s="6" t="n">
        <f aca="false">VLOOKUP($F128,Category!$A$2:$AZ$20,11,0)</f>
        <v>0.444444444444444</v>
      </c>
      <c r="AR128" s="6" t="n">
        <f aca="false">VLOOKUP($F128,Category!$A$2:$AZ$20,10,0)</f>
        <v>0.666666666666667</v>
      </c>
      <c r="AS128" s="6" t="n">
        <f aca="false">VLOOKUP($E128,Role!$A$2:$O$9,4,0)</f>
        <v>0.666</v>
      </c>
      <c r="AT128" s="7" t="n">
        <f aca="false">VLOOKUP($F128,Category!$A$2:$AZ$20,14,0)</f>
        <v>0.333333333333333</v>
      </c>
      <c r="AU128" s="7" t="n">
        <f aca="false">VLOOKUP($F128,Category!$A$2:$AZ$20,16,0)</f>
        <v>0.416666666666667</v>
      </c>
      <c r="AV128" s="7" t="n">
        <f aca="false">VLOOKUP($D128,Size!$A$2:$Z$14,17,0)</f>
        <v>3</v>
      </c>
      <c r="AW128" s="7" t="n">
        <f aca="false">VLOOKUP($E128,Role!$A$2:$O$9,3,0)</f>
        <v>0.666</v>
      </c>
      <c r="AX128" s="7" t="n">
        <f aca="false">VLOOKUP($F128,Category!$A$2:$AZ$20,29,0)</f>
        <v>0.333333333333333</v>
      </c>
      <c r="AY128" s="7" t="n">
        <f aca="false">VLOOKUP($F128,Category!$A$2:$AZ$20,31,0)</f>
        <v>0.333333333333333</v>
      </c>
      <c r="AZ128" s="7" t="n">
        <f aca="false">VLOOKUP($D128,Size!$A$2:$Z$14,16,0)</f>
        <v>2</v>
      </c>
      <c r="BA128" s="7" t="n">
        <f aca="false">VLOOKUP($E128,Role!$A$2:$O$9,2,0)</f>
        <v>0.666</v>
      </c>
      <c r="BC128" s="7" t="n">
        <f aca="false">VLOOKUP($D128,Size!$A$2:$Z$14,19,0)</f>
        <v>9</v>
      </c>
      <c r="BD128" s="7" t="n">
        <f aca="false">VLOOKUP($D128,Size!$A$2:$Z$14,20,0)</f>
        <v>0.75</v>
      </c>
      <c r="BE128" s="7" t="n">
        <f aca="false">VLOOKUP($E128,Role!$A$2:$O$9,12,0)</f>
        <v>1.25</v>
      </c>
      <c r="BF128" s="7" t="n">
        <f aca="false">VLOOKUP($C128,Type!$A$2:$B$4,2,0)</f>
        <v>1</v>
      </c>
      <c r="BG128" s="7" t="n">
        <f aca="false">VLOOKUP($D128,Size!$A$2:$Z$14,18,0)</f>
        <v>10.0928271821888</v>
      </c>
      <c r="BH128" s="7" t="n">
        <f aca="false">INT($BF128*$BG128*$BE128*$B128/2)</f>
        <v>31</v>
      </c>
      <c r="BI128" s="7" t="n">
        <f aca="false">INT(($BC128*$BF128)+($I128*$BD128))</f>
        <v>11</v>
      </c>
      <c r="BJ128" s="7" t="n">
        <f aca="false">INT((($I128*$BE128)+$BC128)*$BF128)</f>
        <v>12</v>
      </c>
      <c r="BK128" s="14"/>
      <c r="BL128" s="7" t="n">
        <f aca="false">VLOOKUP($E128,Role!$A$2:$O$9,13,0)</f>
        <v>1.25</v>
      </c>
      <c r="BM128" s="7" t="n">
        <f aca="false">VLOOKUP($E128,Role!$A$2:$O$9,11,0)</f>
        <v>0.666</v>
      </c>
      <c r="BO128" s="7" t="n">
        <f aca="false">VLOOKUP($E128,Role!$A$2:$O$9,8,0)</f>
        <v>0.75</v>
      </c>
      <c r="BP128" s="7" t="n">
        <f aca="false">VLOOKUP($E128,Role!$A$2:$O$9,9,0)</f>
        <v>0.75</v>
      </c>
      <c r="BQ128" s="7" t="n">
        <f aca="false">VLOOKUP($E128,Role!$A$2:$O$9,10,0)</f>
        <v>0.5</v>
      </c>
    </row>
    <row r="129" customFormat="false" ht="12.8" hidden="false" customHeight="false" outlineLevel="0" collapsed="false">
      <c r="B129" s="2" t="n">
        <v>5</v>
      </c>
      <c r="C129" s="3" t="s">
        <v>63</v>
      </c>
      <c r="D129" s="1" t="s">
        <v>64</v>
      </c>
      <c r="E129" s="1" t="s">
        <v>70</v>
      </c>
      <c r="F129" s="1" t="s">
        <v>93</v>
      </c>
      <c r="G129" s="1" t="s">
        <v>80</v>
      </c>
      <c r="H129" s="4" t="n">
        <f aca="false">VLOOKUP($D129,Size!$A$2:$Z$14,6,0)</f>
        <v>1</v>
      </c>
      <c r="I129" s="13" t="n">
        <f aca="false">INT(($B129*$AZ129*$AX129*$BA129)+($B129*$AY129))</f>
        <v>4</v>
      </c>
      <c r="J129" s="4" t="n">
        <f aca="false">ROUND((($B129*$AT129)+($AV129*$AU129))*$AW129,0)</f>
        <v>2</v>
      </c>
      <c r="K129" s="4" t="n">
        <f aca="false">ROUND((($B129*$AP129)+($B129*$AQ129))*$AS129,0)</f>
        <v>2</v>
      </c>
      <c r="L129" s="4" t="n">
        <f aca="false">ROUND((($B129*$AM129)+($B129*$AN129))*$AO129,0)</f>
        <v>2</v>
      </c>
      <c r="M129" s="4" t="n">
        <f aca="false">ROUND((($B129*$AG129)+($B129*$AH129))*$AI129,0)</f>
        <v>4</v>
      </c>
      <c r="N129" s="4" t="n">
        <f aca="false">ROUND((($B129*$AJ129)+($B129*$AK129))*$AL129,0)</f>
        <v>2</v>
      </c>
      <c r="O129" s="4" t="n">
        <f aca="false">INT($BO129*$B129)</f>
        <v>3</v>
      </c>
      <c r="P129" s="4" t="n">
        <f aca="false">INT($BP129*$B129)</f>
        <v>3</v>
      </c>
      <c r="Q129" s="4" t="n">
        <f aca="false">INT($BQ129*$B129*$AR129)</f>
        <v>1</v>
      </c>
      <c r="R129" s="4" t="n">
        <f aca="false">IF($R$1="WT/G",INT(POWER($BH129*$BJ129*$BI129,0.333333)),0)+IF($R$1="WT/A",INT(($BH129+$BJ129+$BI129)/3),0)+IF($R$1="WT/A2",INT(($BJ129+$BI129)/2),0)+IF($R$1="WT/W",INT(($BH129+$BJ129+$BJ129+$BI129)/4),0)+IF($R$1="WT/W2",INT(($BH129+$BJ129+$BI129+$BI129)/4),0)+IF($R$1="WT/N",INT(MIN($BH129,$BJ129,$BI129)),0)+IF($R$1="WT/M",INT(MAX($BH129,$BJ129,$BI129)),0)+IF($R$1="WT/1",INT($BH129),0)+IF($R$1="WT/2",INT($BI129),0)+IF($R$1="WT/3",INT($BJ129),0)</f>
        <v>20</v>
      </c>
      <c r="S129" s="4" t="n">
        <f aca="false">INT((10+$M129)*$BL129)</f>
        <v>17</v>
      </c>
      <c r="T129" s="4" t="n">
        <f aca="false">INT($I129*$BM129*$BF129)</f>
        <v>2</v>
      </c>
      <c r="U129" s="2" t="n">
        <f aca="false">ROUND(MAX($J129,$L129)+(MIN($J129,$L129)*$X129),0)</f>
        <v>4</v>
      </c>
      <c r="V129" s="2" t="n">
        <f aca="false">MAX(1,INT(((MIN($I129:$J129)+(MAX($I129:$J129)*$H129*$Y129)))*$Z129))</f>
        <v>9</v>
      </c>
      <c r="X129" s="5" t="n">
        <f aca="false">VLOOKUP($E129,Role!$A$2:$O$9,14,0)</f>
        <v>1</v>
      </c>
      <c r="Y129" s="5" t="n">
        <f aca="false">VLOOKUP($E129,Role!$A$2:$O$9,15,0)</f>
        <v>1</v>
      </c>
      <c r="Z129" s="5" t="n">
        <f aca="false">VLOOKUP($G129,Movement!$A$2:$C$7,3,0)</f>
        <v>1.5</v>
      </c>
      <c r="AB129" s="5" t="n">
        <f aca="false">INT(5+(($H129-1)/3))</f>
        <v>5</v>
      </c>
      <c r="AC129" s="5" t="n">
        <f aca="false">IF($AB129&lt;$I129,$I129-MAX($AB129,$B129),0)</f>
        <v>0</v>
      </c>
      <c r="AD129" s="5" t="n">
        <f aca="false">(5-ROUND(($H129-1)/3,0))</f>
        <v>5</v>
      </c>
      <c r="AE129" s="5" t="n">
        <f aca="false">IF($AD129&lt;$J129,$J129-MAX($AD129,$B129),0)</f>
        <v>0</v>
      </c>
      <c r="AG129" s="6" t="n">
        <f aca="false">VLOOKUP($F129,Category!$A$2:$AZ$20,24,0)</f>
        <v>0</v>
      </c>
      <c r="AH129" s="6" t="n">
        <f aca="false">VLOOKUP($F129,Category!$A$2:$AZ$20,26,0)</f>
        <v>1.11111111111111</v>
      </c>
      <c r="AI129" s="6" t="n">
        <f aca="false">VLOOKUP($E129,Role!$A$2:$O$9,6,0)</f>
        <v>0.666</v>
      </c>
      <c r="AJ129" s="6" t="n">
        <f aca="false">VLOOKUP($F129,Category!$A$2:$AZ$20,19,0)</f>
        <v>0.181818181818182</v>
      </c>
      <c r="AK129" s="6" t="n">
        <f aca="false">VLOOKUP($F129,Category!$A$2:$AZ$20,21,0)</f>
        <v>0.454545454545455</v>
      </c>
      <c r="AL129" s="6" t="n">
        <f aca="false">VLOOKUP($E129,Role!$A$2:$O$9,7,0)</f>
        <v>0.666</v>
      </c>
      <c r="AM129" s="6" t="n">
        <f aca="false">VLOOKUP($F129,Category!$A$2:$AZ$20,19,0)</f>
        <v>0.181818181818182</v>
      </c>
      <c r="AN129" s="6" t="n">
        <f aca="false">VLOOKUP($F129,Category!$A$2:$AZ$20,21,0)</f>
        <v>0.454545454545455</v>
      </c>
      <c r="AO129" s="6" t="n">
        <f aca="false">VLOOKUP($E129,Role!$A$2:$O$9,5,0)</f>
        <v>0.666</v>
      </c>
      <c r="AP129" s="6" t="n">
        <f aca="false">VLOOKUP($F129,Category!$A$2:$AZ$20,9,0)</f>
        <v>0.222222222222222</v>
      </c>
      <c r="AQ129" s="6" t="n">
        <f aca="false">VLOOKUP($F129,Category!$A$2:$AZ$20,11,0)</f>
        <v>0.444444444444444</v>
      </c>
      <c r="AR129" s="6" t="n">
        <f aca="false">VLOOKUP($F129,Category!$A$2:$AZ$20,10,0)</f>
        <v>0.666666666666667</v>
      </c>
      <c r="AS129" s="6" t="n">
        <f aca="false">VLOOKUP($E129,Role!$A$2:$O$9,4,0)</f>
        <v>0.666</v>
      </c>
      <c r="AT129" s="7" t="n">
        <f aca="false">VLOOKUP($F129,Category!$A$2:$AZ$20,14,0)</f>
        <v>0.333333333333333</v>
      </c>
      <c r="AU129" s="7" t="n">
        <f aca="false">VLOOKUP($F129,Category!$A$2:$AZ$20,16,0)</f>
        <v>0.416666666666667</v>
      </c>
      <c r="AV129" s="7" t="n">
        <f aca="false">VLOOKUP($D129,Size!$A$2:$Z$14,17,0)</f>
        <v>3</v>
      </c>
      <c r="AW129" s="7" t="n">
        <f aca="false">VLOOKUP($E129,Role!$A$2:$O$9,3,0)</f>
        <v>0.666</v>
      </c>
      <c r="AX129" s="7" t="n">
        <f aca="false">VLOOKUP($F129,Category!$A$2:$AZ$20,29,0)</f>
        <v>0.333333333333333</v>
      </c>
      <c r="AY129" s="7" t="n">
        <f aca="false">VLOOKUP($F129,Category!$A$2:$AZ$20,31,0)</f>
        <v>0.333333333333333</v>
      </c>
      <c r="AZ129" s="7" t="n">
        <f aca="false">VLOOKUP($D129,Size!$A$2:$Z$14,16,0)</f>
        <v>3</v>
      </c>
      <c r="BA129" s="7" t="n">
        <f aca="false">VLOOKUP($E129,Role!$A$2:$O$9,2,0)</f>
        <v>0.666</v>
      </c>
      <c r="BC129" s="7" t="n">
        <f aca="false">VLOOKUP($D129,Size!$A$2:$Z$14,19,0)</f>
        <v>10</v>
      </c>
      <c r="BD129" s="7" t="n">
        <f aca="false">VLOOKUP($D129,Size!$A$2:$Z$14,20,0)</f>
        <v>1</v>
      </c>
      <c r="BE129" s="7" t="n">
        <f aca="false">VLOOKUP($E129,Role!$A$2:$O$9,12,0)</f>
        <v>1.25</v>
      </c>
      <c r="BF129" s="7" t="n">
        <f aca="false">VLOOKUP($C129,Type!$A$2:$B$4,2,0)</f>
        <v>1</v>
      </c>
      <c r="BG129" s="7" t="n">
        <f aca="false">VLOOKUP($D129,Size!$A$2:$Z$14,18,0)</f>
        <v>13</v>
      </c>
      <c r="BH129" s="7" t="n">
        <f aca="false">INT($BF129*$BG129*$BE129*$B129/2)</f>
        <v>40</v>
      </c>
      <c r="BI129" s="7" t="n">
        <f aca="false">INT(($BC129*$BF129)+($I129*$BD129))</f>
        <v>14</v>
      </c>
      <c r="BJ129" s="7" t="n">
        <f aca="false">INT((($I129*$BE129)+$BC129)*$BF129)</f>
        <v>15</v>
      </c>
      <c r="BK129" s="14"/>
      <c r="BL129" s="7" t="n">
        <f aca="false">VLOOKUP($E129,Role!$A$2:$O$9,13,0)</f>
        <v>1.25</v>
      </c>
      <c r="BM129" s="7" t="n">
        <f aca="false">VLOOKUP($E129,Role!$A$2:$O$9,11,0)</f>
        <v>0.666</v>
      </c>
      <c r="BO129" s="7" t="n">
        <f aca="false">VLOOKUP($E129,Role!$A$2:$O$9,8,0)</f>
        <v>0.75</v>
      </c>
      <c r="BP129" s="7" t="n">
        <f aca="false">VLOOKUP($E129,Role!$A$2:$O$9,9,0)</f>
        <v>0.75</v>
      </c>
      <c r="BQ129" s="7" t="n">
        <f aca="false">VLOOKUP($E129,Role!$A$2:$O$9,10,0)</f>
        <v>0.5</v>
      </c>
    </row>
    <row r="130" customFormat="false" ht="12.8" hidden="false" customHeight="false" outlineLevel="0" collapsed="false">
      <c r="B130" s="2" t="n">
        <v>5</v>
      </c>
      <c r="C130" s="3" t="s">
        <v>63</v>
      </c>
      <c r="D130" s="1" t="s">
        <v>84</v>
      </c>
      <c r="E130" s="1" t="s">
        <v>70</v>
      </c>
      <c r="F130" s="1" t="s">
        <v>93</v>
      </c>
      <c r="G130" s="1" t="s">
        <v>80</v>
      </c>
      <c r="H130" s="4" t="n">
        <f aca="false">VLOOKUP($D130,Size!$A$2:$Z$14,6,0)</f>
        <v>2</v>
      </c>
      <c r="I130" s="13" t="n">
        <f aca="false">INT(($B130*$AZ130*$AX130*$BA130)+($B130*$AY130))</f>
        <v>4</v>
      </c>
      <c r="J130" s="4" t="n">
        <f aca="false">ROUND((($B130*$AT130)+($AV130*$AU130))*$AW130,0)</f>
        <v>2</v>
      </c>
      <c r="K130" s="4" t="n">
        <f aca="false">ROUND((($B130*$AP130)+($B130*$AQ130))*$AS130,0)</f>
        <v>2</v>
      </c>
      <c r="L130" s="4" t="n">
        <f aca="false">ROUND((($B130*$AM130)+($B130*$AN130))*$AO130,0)</f>
        <v>2</v>
      </c>
      <c r="M130" s="4" t="n">
        <f aca="false">ROUND((($B130*$AG130)+($B130*$AH130))*$AI130,0)</f>
        <v>4</v>
      </c>
      <c r="N130" s="4" t="n">
        <f aca="false">ROUND((($B130*$AJ130)+($B130*$AK130))*$AL130,0)</f>
        <v>2</v>
      </c>
      <c r="O130" s="4" t="n">
        <f aca="false">INT($BO130*$B130)</f>
        <v>3</v>
      </c>
      <c r="P130" s="4" t="n">
        <f aca="false">INT($BP130*$B130)</f>
        <v>3</v>
      </c>
      <c r="Q130" s="4" t="n">
        <f aca="false">INT($BQ130*$B130*$AR130)</f>
        <v>1</v>
      </c>
      <c r="R130" s="4" t="n">
        <f aca="false">IF($R$1="WT/G",INT(POWER($BH130*$BJ130*$BI130,0.333333)),0)+IF($R$1="WT/A",INT(($BH130+$BJ130+$BI130)/3),0)+IF($R$1="WT/A2",INT(($BJ130+$BI130)/2),0)+IF($R$1="WT/W",INT(($BH130+$BJ130+$BJ130+$BI130)/4),0)+IF($R$1="WT/W2",INT(($BH130+$BJ130+$BI130+$BI130)/4),0)+IF($R$1="WT/N",INT(MIN($BH130,$BJ130,$BI130)),0)+IF($R$1="WT/M",INT(MAX($BH130,$BJ130,$BI130)),0)+IF($R$1="WT/1",INT($BH130),0)+IF($R$1="WT/2",INT($BI130),0)+IF($R$1="WT/3",INT($BJ130),0)</f>
        <v>25</v>
      </c>
      <c r="S130" s="4" t="n">
        <f aca="false">INT((10+$M130)*$BL130)</f>
        <v>17</v>
      </c>
      <c r="T130" s="4" t="n">
        <f aca="false">INT($I130*$BM130*$BF130)</f>
        <v>2</v>
      </c>
      <c r="U130" s="2" t="n">
        <f aca="false">ROUND(MAX($J130,$L130)+(MIN($J130,$L130)*$X130),0)</f>
        <v>4</v>
      </c>
      <c r="V130" s="2" t="n">
        <f aca="false">MAX(1,INT(((MIN($I130:$J130)+(MAX($I130:$J130)*$H130*$Y130)))*$Z130))</f>
        <v>15</v>
      </c>
      <c r="X130" s="5" t="n">
        <f aca="false">VLOOKUP($E130,Role!$A$2:$O$9,14,0)</f>
        <v>1</v>
      </c>
      <c r="Y130" s="5" t="n">
        <f aca="false">VLOOKUP($E130,Role!$A$2:$O$9,15,0)</f>
        <v>1</v>
      </c>
      <c r="Z130" s="5" t="n">
        <f aca="false">VLOOKUP($G130,Movement!$A$2:$C$7,3,0)</f>
        <v>1.5</v>
      </c>
      <c r="AB130" s="5" t="n">
        <f aca="false">INT(5+(($H130-1)/3))</f>
        <v>5</v>
      </c>
      <c r="AC130" s="5" t="n">
        <f aca="false">IF($AB130&lt;$I130,$I130-MAX($AB130,$B130),0)</f>
        <v>0</v>
      </c>
      <c r="AD130" s="5" t="n">
        <f aca="false">(5-ROUND(($H130-1)/3,0))</f>
        <v>5</v>
      </c>
      <c r="AE130" s="5" t="n">
        <f aca="false">IF($AD130&lt;$J130,$J130-MAX($AD130,$B130),0)</f>
        <v>0</v>
      </c>
      <c r="AG130" s="6" t="n">
        <f aca="false">VLOOKUP($F130,Category!$A$2:$AZ$20,24,0)</f>
        <v>0</v>
      </c>
      <c r="AH130" s="6" t="n">
        <f aca="false">VLOOKUP($F130,Category!$A$2:$AZ$20,26,0)</f>
        <v>1.11111111111111</v>
      </c>
      <c r="AI130" s="6" t="n">
        <f aca="false">VLOOKUP($E130,Role!$A$2:$O$9,6,0)</f>
        <v>0.666</v>
      </c>
      <c r="AJ130" s="6" t="n">
        <f aca="false">VLOOKUP($F130,Category!$A$2:$AZ$20,19,0)</f>
        <v>0.181818181818182</v>
      </c>
      <c r="AK130" s="6" t="n">
        <f aca="false">VLOOKUP($F130,Category!$A$2:$AZ$20,21,0)</f>
        <v>0.454545454545455</v>
      </c>
      <c r="AL130" s="6" t="n">
        <f aca="false">VLOOKUP($E130,Role!$A$2:$O$9,7,0)</f>
        <v>0.666</v>
      </c>
      <c r="AM130" s="6" t="n">
        <f aca="false">VLOOKUP($F130,Category!$A$2:$AZ$20,19,0)</f>
        <v>0.181818181818182</v>
      </c>
      <c r="AN130" s="6" t="n">
        <f aca="false">VLOOKUP($F130,Category!$A$2:$AZ$20,21,0)</f>
        <v>0.454545454545455</v>
      </c>
      <c r="AO130" s="6" t="n">
        <f aca="false">VLOOKUP($E130,Role!$A$2:$O$9,5,0)</f>
        <v>0.666</v>
      </c>
      <c r="AP130" s="6" t="n">
        <f aca="false">VLOOKUP($F130,Category!$A$2:$AZ$20,9,0)</f>
        <v>0.222222222222222</v>
      </c>
      <c r="AQ130" s="6" t="n">
        <f aca="false">VLOOKUP($F130,Category!$A$2:$AZ$20,11,0)</f>
        <v>0.444444444444444</v>
      </c>
      <c r="AR130" s="6" t="n">
        <f aca="false">VLOOKUP($F130,Category!$A$2:$AZ$20,10,0)</f>
        <v>0.666666666666667</v>
      </c>
      <c r="AS130" s="6" t="n">
        <f aca="false">VLOOKUP($E130,Role!$A$2:$O$9,4,0)</f>
        <v>0.666</v>
      </c>
      <c r="AT130" s="7" t="n">
        <f aca="false">VLOOKUP($F130,Category!$A$2:$AZ$20,14,0)</f>
        <v>0.333333333333333</v>
      </c>
      <c r="AU130" s="7" t="n">
        <f aca="false">VLOOKUP($F130,Category!$A$2:$AZ$20,16,0)</f>
        <v>0.416666666666667</v>
      </c>
      <c r="AV130" s="7" t="n">
        <f aca="false">VLOOKUP($D130,Size!$A$2:$Z$14,17,0)</f>
        <v>3</v>
      </c>
      <c r="AW130" s="7" t="n">
        <f aca="false">VLOOKUP($E130,Role!$A$2:$O$9,3,0)</f>
        <v>0.666</v>
      </c>
      <c r="AX130" s="7" t="n">
        <f aca="false">VLOOKUP($F130,Category!$A$2:$AZ$20,29,0)</f>
        <v>0.333333333333333</v>
      </c>
      <c r="AY130" s="7" t="n">
        <f aca="false">VLOOKUP($F130,Category!$A$2:$AZ$20,31,0)</f>
        <v>0.333333333333333</v>
      </c>
      <c r="AZ130" s="7" t="n">
        <f aca="false">VLOOKUP($D130,Size!$A$2:$Z$14,16,0)</f>
        <v>3</v>
      </c>
      <c r="BA130" s="7" t="n">
        <f aca="false">VLOOKUP($E130,Role!$A$2:$O$9,2,0)</f>
        <v>0.666</v>
      </c>
      <c r="BC130" s="7" t="n">
        <f aca="false">VLOOKUP($D130,Size!$A$2:$Z$14,19,0)</f>
        <v>12</v>
      </c>
      <c r="BD130" s="7" t="n">
        <f aca="false">VLOOKUP($D130,Size!$A$2:$Z$14,20,0)</f>
        <v>1.5</v>
      </c>
      <c r="BE130" s="7" t="n">
        <f aca="false">VLOOKUP($E130,Role!$A$2:$O$9,12,0)</f>
        <v>1.25</v>
      </c>
      <c r="BF130" s="7" t="n">
        <f aca="false">VLOOKUP($C130,Type!$A$2:$B$4,2,0)</f>
        <v>1</v>
      </c>
      <c r="BG130" s="7" t="n">
        <f aca="false">VLOOKUP($D130,Size!$A$2:$Z$14,18,0)</f>
        <v>16.2236679323423</v>
      </c>
      <c r="BH130" s="7" t="n">
        <f aca="false">INT($BF130*$BG130*$BE130*$B130/2)</f>
        <v>50</v>
      </c>
      <c r="BI130" s="7" t="n">
        <f aca="false">INT(($BC130*$BF130)+($I130*$BD130))</f>
        <v>18</v>
      </c>
      <c r="BJ130" s="7" t="n">
        <f aca="false">INT((($I130*$BE130)+$BC130)*$BF130)</f>
        <v>17</v>
      </c>
      <c r="BK130" s="14"/>
      <c r="BL130" s="7" t="n">
        <f aca="false">VLOOKUP($E130,Role!$A$2:$O$9,13,0)</f>
        <v>1.25</v>
      </c>
      <c r="BM130" s="7" t="n">
        <f aca="false">VLOOKUP($E130,Role!$A$2:$O$9,11,0)</f>
        <v>0.666</v>
      </c>
      <c r="BO130" s="7" t="n">
        <f aca="false">VLOOKUP($E130,Role!$A$2:$O$9,8,0)</f>
        <v>0.75</v>
      </c>
      <c r="BP130" s="7" t="n">
        <f aca="false">VLOOKUP($E130,Role!$A$2:$O$9,9,0)</f>
        <v>0.75</v>
      </c>
      <c r="BQ130" s="7" t="n">
        <f aca="false">VLOOKUP($E130,Role!$A$2:$O$9,10,0)</f>
        <v>0.5</v>
      </c>
    </row>
    <row r="131" customFormat="false" ht="12.8" hidden="false" customHeight="false" outlineLevel="0" collapsed="false">
      <c r="B131" s="2" t="n">
        <v>5</v>
      </c>
      <c r="C131" s="3" t="s">
        <v>63</v>
      </c>
      <c r="D131" s="1" t="s">
        <v>85</v>
      </c>
      <c r="E131" s="1" t="s">
        <v>70</v>
      </c>
      <c r="F131" s="1" t="s">
        <v>93</v>
      </c>
      <c r="G131" s="1" t="s">
        <v>80</v>
      </c>
      <c r="H131" s="4" t="n">
        <f aca="false">VLOOKUP($D131,Size!$A$2:$Z$14,6,0)</f>
        <v>3</v>
      </c>
      <c r="I131" s="13" t="n">
        <f aca="false">INT(($B131*$AZ131*$AX131*$BA131)+($B131*$AY131))</f>
        <v>6</v>
      </c>
      <c r="J131" s="4" t="n">
        <f aca="false">ROUND((($B131*$AT131)+($AV131*$AU131))*$AW131,0)</f>
        <v>2</v>
      </c>
      <c r="K131" s="4" t="n">
        <f aca="false">ROUND((($B131*$AP131)+($B131*$AQ131))*$AS131,0)</f>
        <v>2</v>
      </c>
      <c r="L131" s="4" t="n">
        <f aca="false">ROUND((($B131*$AM131)+($B131*$AN131))*$AO131,0)</f>
        <v>2</v>
      </c>
      <c r="M131" s="4" t="n">
        <f aca="false">ROUND((($B131*$AG131)+($B131*$AH131))*$AI131,0)</f>
        <v>4</v>
      </c>
      <c r="N131" s="4" t="n">
        <f aca="false">ROUND((($B131*$AJ131)+($B131*$AK131))*$AL131,0)</f>
        <v>2</v>
      </c>
      <c r="O131" s="4" t="n">
        <f aca="false">INT($BO131*$B131)</f>
        <v>3</v>
      </c>
      <c r="P131" s="4" t="n">
        <f aca="false">INT($BP131*$B131)</f>
        <v>3</v>
      </c>
      <c r="Q131" s="4" t="n">
        <f aca="false">INT($BQ131*$B131*$AR131)</f>
        <v>1</v>
      </c>
      <c r="R131" s="4" t="n">
        <f aca="false">IF($R$1="WT/G",INT(POWER($BH131*$BJ131*$BI131,0.333333)),0)+IF($R$1="WT/A",INT(($BH131+$BJ131+$BI131)/3),0)+IF($R$1="WT/A2",INT(($BJ131+$BI131)/2),0)+IF($R$1="WT/W",INT(($BH131+$BJ131+$BJ131+$BI131)/4),0)+IF($R$1="WT/W2",INT(($BH131+$BJ131+$BI131+$BI131)/4),0)+IF($R$1="WT/N",INT(MIN($BH131,$BJ131,$BI131)),0)+IF($R$1="WT/M",INT(MAX($BH131,$BJ131,$BI131)),0)+IF($R$1="WT/1",INT($BH131),0)+IF($R$1="WT/2",INT($BI131),0)+IF($R$1="WT/3",INT($BJ131),0)</f>
        <v>35</v>
      </c>
      <c r="S131" s="4" t="n">
        <f aca="false">INT((10+$M131)*$BL131)</f>
        <v>17</v>
      </c>
      <c r="T131" s="4" t="n">
        <f aca="false">INT($I131*$BM131*$BF131)</f>
        <v>3</v>
      </c>
      <c r="U131" s="2" t="n">
        <f aca="false">ROUND(MAX($J131,$L131)+(MIN($J131,$L131)*$X131),0)</f>
        <v>4</v>
      </c>
      <c r="V131" s="2" t="n">
        <f aca="false">MAX(1,INT(((MIN($I131:$J131)+(MAX($I131:$J131)*$H131*$Y131)))*$Z131))</f>
        <v>30</v>
      </c>
      <c r="X131" s="5" t="n">
        <f aca="false">VLOOKUP($E131,Role!$A$2:$O$9,14,0)</f>
        <v>1</v>
      </c>
      <c r="Y131" s="5" t="n">
        <f aca="false">VLOOKUP($E131,Role!$A$2:$O$9,15,0)</f>
        <v>1</v>
      </c>
      <c r="Z131" s="5" t="n">
        <f aca="false">VLOOKUP($G131,Movement!$A$2:$C$7,3,0)</f>
        <v>1.5</v>
      </c>
      <c r="AB131" s="5" t="n">
        <f aca="false">INT(5+(($H131-1)/3))</f>
        <v>5</v>
      </c>
      <c r="AC131" s="5" t="n">
        <f aca="false">IF($AB131&lt;$I131,$I131-MAX($AB131,$B131),0)</f>
        <v>1</v>
      </c>
      <c r="AD131" s="5" t="n">
        <f aca="false">(5-ROUND(($H131-1)/3,0))</f>
        <v>4</v>
      </c>
      <c r="AE131" s="5" t="n">
        <f aca="false">IF($AD131&lt;$J131,$J131-MAX($AD131,$B131),0)</f>
        <v>0</v>
      </c>
      <c r="AG131" s="6" t="n">
        <f aca="false">VLOOKUP($F131,Category!$A$2:$AZ$20,24,0)</f>
        <v>0</v>
      </c>
      <c r="AH131" s="6" t="n">
        <f aca="false">VLOOKUP($F131,Category!$A$2:$AZ$20,26,0)</f>
        <v>1.11111111111111</v>
      </c>
      <c r="AI131" s="6" t="n">
        <f aca="false">VLOOKUP($E131,Role!$A$2:$O$9,6,0)</f>
        <v>0.666</v>
      </c>
      <c r="AJ131" s="6" t="n">
        <f aca="false">VLOOKUP($F131,Category!$A$2:$AZ$20,19,0)</f>
        <v>0.181818181818182</v>
      </c>
      <c r="AK131" s="6" t="n">
        <f aca="false">VLOOKUP($F131,Category!$A$2:$AZ$20,21,0)</f>
        <v>0.454545454545455</v>
      </c>
      <c r="AL131" s="6" t="n">
        <f aca="false">VLOOKUP($E131,Role!$A$2:$O$9,7,0)</f>
        <v>0.666</v>
      </c>
      <c r="AM131" s="6" t="n">
        <f aca="false">VLOOKUP($F131,Category!$A$2:$AZ$20,19,0)</f>
        <v>0.181818181818182</v>
      </c>
      <c r="AN131" s="6" t="n">
        <f aca="false">VLOOKUP($F131,Category!$A$2:$AZ$20,21,0)</f>
        <v>0.454545454545455</v>
      </c>
      <c r="AO131" s="6" t="n">
        <f aca="false">VLOOKUP($E131,Role!$A$2:$O$9,5,0)</f>
        <v>0.666</v>
      </c>
      <c r="AP131" s="6" t="n">
        <f aca="false">VLOOKUP($F131,Category!$A$2:$AZ$20,9,0)</f>
        <v>0.222222222222222</v>
      </c>
      <c r="AQ131" s="6" t="n">
        <f aca="false">VLOOKUP($F131,Category!$A$2:$AZ$20,11,0)</f>
        <v>0.444444444444444</v>
      </c>
      <c r="AR131" s="6" t="n">
        <f aca="false">VLOOKUP($F131,Category!$A$2:$AZ$20,10,0)</f>
        <v>0.666666666666667</v>
      </c>
      <c r="AS131" s="6" t="n">
        <f aca="false">VLOOKUP($E131,Role!$A$2:$O$9,4,0)</f>
        <v>0.666</v>
      </c>
      <c r="AT131" s="7" t="n">
        <f aca="false">VLOOKUP($F131,Category!$A$2:$AZ$20,14,0)</f>
        <v>0.333333333333333</v>
      </c>
      <c r="AU131" s="7" t="n">
        <f aca="false">VLOOKUP($F131,Category!$A$2:$AZ$20,16,0)</f>
        <v>0.416666666666667</v>
      </c>
      <c r="AV131" s="7" t="n">
        <f aca="false">VLOOKUP($D131,Size!$A$2:$Z$14,17,0)</f>
        <v>2</v>
      </c>
      <c r="AW131" s="7" t="n">
        <f aca="false">VLOOKUP($E131,Role!$A$2:$O$9,3,0)</f>
        <v>0.666</v>
      </c>
      <c r="AX131" s="7" t="n">
        <f aca="false">VLOOKUP($F131,Category!$A$2:$AZ$20,29,0)</f>
        <v>0.333333333333333</v>
      </c>
      <c r="AY131" s="7" t="n">
        <f aca="false">VLOOKUP($F131,Category!$A$2:$AZ$20,31,0)</f>
        <v>0.333333333333333</v>
      </c>
      <c r="AZ131" s="7" t="n">
        <f aca="false">VLOOKUP($D131,Size!$A$2:$Z$14,16,0)</f>
        <v>4</v>
      </c>
      <c r="BA131" s="7" t="n">
        <f aca="false">VLOOKUP($E131,Role!$A$2:$O$9,2,0)</f>
        <v>0.666</v>
      </c>
      <c r="BC131" s="7" t="n">
        <f aca="false">VLOOKUP($D131,Size!$A$2:$Z$14,19,0)</f>
        <v>14</v>
      </c>
      <c r="BD131" s="7" t="n">
        <f aca="false">VLOOKUP($D131,Size!$A$2:$Z$14,20,0)</f>
        <v>2</v>
      </c>
      <c r="BE131" s="7" t="n">
        <f aca="false">VLOOKUP($E131,Role!$A$2:$O$9,12,0)</f>
        <v>1.25</v>
      </c>
      <c r="BF131" s="7" t="n">
        <f aca="false">VLOOKUP($C131,Type!$A$2:$B$4,2,0)</f>
        <v>1</v>
      </c>
      <c r="BG131" s="7" t="n">
        <f aca="false">VLOOKUP($D131,Size!$A$2:$Z$14,18,0)</f>
        <v>21.7830216372384</v>
      </c>
      <c r="BH131" s="7" t="n">
        <f aca="false">INT($BF131*$BG131*$BE131*$B131/2)</f>
        <v>68</v>
      </c>
      <c r="BI131" s="7" t="n">
        <f aca="false">INT(($BC131*$BF131)+($I131*$BD131))</f>
        <v>26</v>
      </c>
      <c r="BJ131" s="7" t="n">
        <f aca="false">INT((($I131*$BE131)+$BC131)*$BF131)</f>
        <v>21</v>
      </c>
      <c r="BK131" s="14"/>
      <c r="BL131" s="7" t="n">
        <f aca="false">VLOOKUP($E131,Role!$A$2:$O$9,13,0)</f>
        <v>1.25</v>
      </c>
      <c r="BM131" s="7" t="n">
        <f aca="false">VLOOKUP($E131,Role!$A$2:$O$9,11,0)</f>
        <v>0.666</v>
      </c>
      <c r="BO131" s="7" t="n">
        <f aca="false">VLOOKUP($E131,Role!$A$2:$O$9,8,0)</f>
        <v>0.75</v>
      </c>
      <c r="BP131" s="7" t="n">
        <f aca="false">VLOOKUP($E131,Role!$A$2:$O$9,9,0)</f>
        <v>0.75</v>
      </c>
      <c r="BQ131" s="7" t="n">
        <f aca="false">VLOOKUP($E131,Role!$A$2:$O$9,10,0)</f>
        <v>0.5</v>
      </c>
    </row>
    <row r="132" customFormat="false" ht="12.8" hidden="false" customHeight="false" outlineLevel="0" collapsed="false">
      <c r="B132" s="2" t="n">
        <v>5</v>
      </c>
      <c r="C132" s="3" t="s">
        <v>63</v>
      </c>
      <c r="D132" s="1" t="s">
        <v>86</v>
      </c>
      <c r="E132" s="1" t="s">
        <v>70</v>
      </c>
      <c r="F132" s="1" t="s">
        <v>93</v>
      </c>
      <c r="G132" s="1" t="s">
        <v>80</v>
      </c>
      <c r="H132" s="4" t="n">
        <f aca="false">VLOOKUP($D132,Size!$A$2:$Z$14,6,0)</f>
        <v>4</v>
      </c>
      <c r="I132" s="13" t="n">
        <f aca="false">INT(($B132*$AZ132*$AX132*$BA132)+($B132*$AY132))</f>
        <v>6</v>
      </c>
      <c r="J132" s="4" t="n">
        <f aca="false">ROUND((($B132*$AT132)+($AV132*$AU132))*$AW132,0)</f>
        <v>2</v>
      </c>
      <c r="K132" s="4" t="n">
        <f aca="false">ROUND((($B132*$AP132)+($B132*$AQ132))*$AS132,0)</f>
        <v>2</v>
      </c>
      <c r="L132" s="4" t="n">
        <f aca="false">ROUND((($B132*$AM132)+($B132*$AN132))*$AO132,0)</f>
        <v>2</v>
      </c>
      <c r="M132" s="4" t="n">
        <f aca="false">ROUND((($B132*$AG132)+($B132*$AH132))*$AI132,0)</f>
        <v>4</v>
      </c>
      <c r="N132" s="4" t="n">
        <f aca="false">ROUND((($B132*$AJ132)+($B132*$AK132))*$AL132,0)</f>
        <v>2</v>
      </c>
      <c r="O132" s="4" t="n">
        <f aca="false">INT($BO132*$B132)</f>
        <v>3</v>
      </c>
      <c r="P132" s="4" t="n">
        <f aca="false">INT($BP132*$B132)</f>
        <v>3</v>
      </c>
      <c r="Q132" s="4" t="n">
        <f aca="false">INT($BQ132*$B132*$AR132)</f>
        <v>1</v>
      </c>
      <c r="R132" s="4" t="n">
        <f aca="false">IF($R$1="WT/G",INT(POWER($BH132*$BJ132*$BI132,0.333333)),0)+IF($R$1="WT/A",INT(($BH132+$BJ132+$BI132)/3),0)+IF($R$1="WT/A2",INT(($BJ132+$BI132)/2),0)+IF($R$1="WT/W",INT(($BH132+$BJ132+$BJ132+$BI132)/4),0)+IF($R$1="WT/W2",INT(($BH132+$BJ132+$BI132+$BI132)/4),0)+IF($R$1="WT/N",INT(MIN($BH132,$BJ132,$BI132)),0)+IF($R$1="WT/M",INT(MAX($BH132,$BJ132,$BI132)),0)+IF($R$1="WT/1",INT($BH132),0)+IF($R$1="WT/2",INT($BI132),0)+IF($R$1="WT/3",INT($BJ132),0)</f>
        <v>42</v>
      </c>
      <c r="S132" s="4" t="n">
        <f aca="false">INT((10+$M132)*$BL132)</f>
        <v>17</v>
      </c>
      <c r="T132" s="4" t="n">
        <f aca="false">INT($I132*$BM132*$BF132)</f>
        <v>3</v>
      </c>
      <c r="U132" s="2" t="n">
        <f aca="false">ROUND(MAX($J132,$L132)+(MIN($J132,$L132)*$X132),0)</f>
        <v>4</v>
      </c>
      <c r="V132" s="2" t="n">
        <f aca="false">MAX(1,INT(((MIN($I132:$J132)+(MAX($I132:$J132)*$H132*$Y132)))*$Z132))</f>
        <v>39</v>
      </c>
      <c r="X132" s="5" t="n">
        <f aca="false">VLOOKUP($E132,Role!$A$2:$O$9,14,0)</f>
        <v>1</v>
      </c>
      <c r="Y132" s="5" t="n">
        <f aca="false">VLOOKUP($E132,Role!$A$2:$O$9,15,0)</f>
        <v>1</v>
      </c>
      <c r="Z132" s="5" t="n">
        <f aca="false">VLOOKUP($G132,Movement!$A$2:$C$7,3,0)</f>
        <v>1.5</v>
      </c>
      <c r="AB132" s="5" t="n">
        <f aca="false">INT(5+(($H132-1)/3))</f>
        <v>6</v>
      </c>
      <c r="AC132" s="5" t="n">
        <f aca="false">IF($AB132&lt;$I132,$I132-MAX($AB132,$B132),0)</f>
        <v>0</v>
      </c>
      <c r="AD132" s="5" t="n">
        <f aca="false">(5-ROUND(($H132-1)/3,0))</f>
        <v>4</v>
      </c>
      <c r="AE132" s="5" t="n">
        <f aca="false">IF($AD132&lt;$J132,$J132-MAX($AD132,$B132),0)</f>
        <v>0</v>
      </c>
      <c r="AG132" s="6" t="n">
        <f aca="false">VLOOKUP($F132,Category!$A$2:$AZ$20,24,0)</f>
        <v>0</v>
      </c>
      <c r="AH132" s="6" t="n">
        <f aca="false">VLOOKUP($F132,Category!$A$2:$AZ$20,26,0)</f>
        <v>1.11111111111111</v>
      </c>
      <c r="AI132" s="6" t="n">
        <f aca="false">VLOOKUP($E132,Role!$A$2:$O$9,6,0)</f>
        <v>0.666</v>
      </c>
      <c r="AJ132" s="6" t="n">
        <f aca="false">VLOOKUP($F132,Category!$A$2:$AZ$20,19,0)</f>
        <v>0.181818181818182</v>
      </c>
      <c r="AK132" s="6" t="n">
        <f aca="false">VLOOKUP($F132,Category!$A$2:$AZ$20,21,0)</f>
        <v>0.454545454545455</v>
      </c>
      <c r="AL132" s="6" t="n">
        <f aca="false">VLOOKUP($E132,Role!$A$2:$O$9,7,0)</f>
        <v>0.666</v>
      </c>
      <c r="AM132" s="6" t="n">
        <f aca="false">VLOOKUP($F132,Category!$A$2:$AZ$20,19,0)</f>
        <v>0.181818181818182</v>
      </c>
      <c r="AN132" s="6" t="n">
        <f aca="false">VLOOKUP($F132,Category!$A$2:$AZ$20,21,0)</f>
        <v>0.454545454545455</v>
      </c>
      <c r="AO132" s="6" t="n">
        <f aca="false">VLOOKUP($E132,Role!$A$2:$O$9,5,0)</f>
        <v>0.666</v>
      </c>
      <c r="AP132" s="6" t="n">
        <f aca="false">VLOOKUP($F132,Category!$A$2:$AZ$20,9,0)</f>
        <v>0.222222222222222</v>
      </c>
      <c r="AQ132" s="6" t="n">
        <f aca="false">VLOOKUP($F132,Category!$A$2:$AZ$20,11,0)</f>
        <v>0.444444444444444</v>
      </c>
      <c r="AR132" s="6" t="n">
        <f aca="false">VLOOKUP($F132,Category!$A$2:$AZ$20,10,0)</f>
        <v>0.666666666666667</v>
      </c>
      <c r="AS132" s="6" t="n">
        <f aca="false">VLOOKUP($E132,Role!$A$2:$O$9,4,0)</f>
        <v>0.666</v>
      </c>
      <c r="AT132" s="7" t="n">
        <f aca="false">VLOOKUP($F132,Category!$A$2:$AZ$20,14,0)</f>
        <v>0.333333333333333</v>
      </c>
      <c r="AU132" s="7" t="n">
        <f aca="false">VLOOKUP($F132,Category!$A$2:$AZ$20,16,0)</f>
        <v>0.416666666666667</v>
      </c>
      <c r="AV132" s="7" t="n">
        <f aca="false">VLOOKUP($D132,Size!$A$2:$Z$14,17,0)</f>
        <v>2</v>
      </c>
      <c r="AW132" s="7" t="n">
        <f aca="false">VLOOKUP($E132,Role!$A$2:$O$9,3,0)</f>
        <v>0.666</v>
      </c>
      <c r="AX132" s="7" t="n">
        <f aca="false">VLOOKUP($F132,Category!$A$2:$AZ$20,29,0)</f>
        <v>0.333333333333333</v>
      </c>
      <c r="AY132" s="7" t="n">
        <f aca="false">VLOOKUP($F132,Category!$A$2:$AZ$20,31,0)</f>
        <v>0.333333333333333</v>
      </c>
      <c r="AZ132" s="7" t="n">
        <f aca="false">VLOOKUP($D132,Size!$A$2:$Z$14,16,0)</f>
        <v>4</v>
      </c>
      <c r="BA132" s="7" t="n">
        <f aca="false">VLOOKUP($E132,Role!$A$2:$O$9,2,0)</f>
        <v>0.666</v>
      </c>
      <c r="BC132" s="7" t="n">
        <f aca="false">VLOOKUP($D132,Size!$A$2:$Z$14,19,0)</f>
        <v>16</v>
      </c>
      <c r="BD132" s="7" t="n">
        <f aca="false">VLOOKUP($D132,Size!$A$2:$Z$14,20,0)</f>
        <v>3</v>
      </c>
      <c r="BE132" s="7" t="n">
        <f aca="false">VLOOKUP($E132,Role!$A$2:$O$9,12,0)</f>
        <v>1.25</v>
      </c>
      <c r="BF132" s="7" t="n">
        <f aca="false">VLOOKUP($C132,Type!$A$2:$B$4,2,0)</f>
        <v>1</v>
      </c>
      <c r="BG132" s="7" t="n">
        <f aca="false">VLOOKUP($D132,Size!$A$2:$Z$14,18,0)</f>
        <v>25.3004131186338</v>
      </c>
      <c r="BH132" s="7" t="n">
        <f aca="false">INT($BF132*$BG132*$BE132*$B132/2)</f>
        <v>79</v>
      </c>
      <c r="BI132" s="7" t="n">
        <f aca="false">INT(($BC132*$BF132)+($I132*$BD132))</f>
        <v>34</v>
      </c>
      <c r="BJ132" s="7" t="n">
        <f aca="false">INT((($I132*$BE132)+$BC132)*$BF132)</f>
        <v>23</v>
      </c>
      <c r="BK132" s="14"/>
      <c r="BL132" s="7" t="n">
        <f aca="false">VLOOKUP($E132,Role!$A$2:$O$9,13,0)</f>
        <v>1.25</v>
      </c>
      <c r="BM132" s="7" t="n">
        <f aca="false">VLOOKUP($E132,Role!$A$2:$O$9,11,0)</f>
        <v>0.666</v>
      </c>
      <c r="BO132" s="7" t="n">
        <f aca="false">VLOOKUP($E132,Role!$A$2:$O$9,8,0)</f>
        <v>0.75</v>
      </c>
      <c r="BP132" s="7" t="n">
        <f aca="false">VLOOKUP($E132,Role!$A$2:$O$9,9,0)</f>
        <v>0.75</v>
      </c>
      <c r="BQ132" s="7" t="n">
        <f aca="false">VLOOKUP($E132,Role!$A$2:$O$9,10,0)</f>
        <v>0.5</v>
      </c>
    </row>
    <row r="133" customFormat="false" ht="12.8" hidden="false" customHeight="false" outlineLevel="0" collapsed="false">
      <c r="B133" s="2" t="n">
        <v>5</v>
      </c>
      <c r="C133" s="3" t="s">
        <v>63</v>
      </c>
      <c r="D133" s="1" t="s">
        <v>87</v>
      </c>
      <c r="E133" s="1" t="s">
        <v>70</v>
      </c>
      <c r="F133" s="1" t="s">
        <v>93</v>
      </c>
      <c r="G133" s="1" t="s">
        <v>80</v>
      </c>
      <c r="H133" s="4" t="n">
        <f aca="false">VLOOKUP($D133,Size!$A$2:$Z$14,6,0)</f>
        <v>5</v>
      </c>
      <c r="I133" s="13" t="n">
        <f aca="false">INT(($B133*$AZ133*$AX133*$BA133)+($B133*$AY133))</f>
        <v>7</v>
      </c>
      <c r="J133" s="4" t="n">
        <f aca="false">ROUND((($B133*$AT133)+($AV133*$AU133))*$AW133,0)</f>
        <v>2</v>
      </c>
      <c r="K133" s="4" t="n">
        <f aca="false">ROUND((($B133*$AP133)+($B133*$AQ133))*$AS133,0)</f>
        <v>2</v>
      </c>
      <c r="L133" s="4" t="n">
        <f aca="false">ROUND((($B133*$AM133)+($B133*$AN133))*$AO133,0)</f>
        <v>2</v>
      </c>
      <c r="M133" s="4" t="n">
        <f aca="false">ROUND((($B133*$AG133)+($B133*$AH133))*$AI133,0)</f>
        <v>4</v>
      </c>
      <c r="N133" s="4" t="n">
        <f aca="false">ROUND((($B133*$AJ133)+($B133*$AK133))*$AL133,0)</f>
        <v>2</v>
      </c>
      <c r="O133" s="4" t="n">
        <f aca="false">INT($BO133*$B133)</f>
        <v>3</v>
      </c>
      <c r="P133" s="4" t="n">
        <f aca="false">INT($BP133*$B133)</f>
        <v>3</v>
      </c>
      <c r="Q133" s="4" t="n">
        <f aca="false">INT($BQ133*$B133*$AR133)</f>
        <v>1</v>
      </c>
      <c r="R133" s="4" t="n">
        <f aca="false">IF($R$1="WT/G",INT(POWER($BH133*$BJ133*$BI133,0.333333)),0)+IF($R$1="WT/A",INT(($BH133+$BJ133+$BI133)/3),0)+IF($R$1="WT/A2",INT(($BJ133+$BI133)/2),0)+IF($R$1="WT/W",INT(($BH133+$BJ133+$BJ133+$BI133)/4),0)+IF($R$1="WT/W2",INT(($BH133+$BJ133+$BI133+$BI133)/4),0)+IF($R$1="WT/N",INT(MIN($BH133,$BJ133,$BI133)),0)+IF($R$1="WT/M",INT(MAX($BH133,$BJ133,$BI133)),0)+IF($R$1="WT/1",INT($BH133),0)+IF($R$1="WT/2",INT($BI133),0)+IF($R$1="WT/3",INT($BJ133),0)</f>
        <v>53</v>
      </c>
      <c r="S133" s="4" t="n">
        <f aca="false">INT((10+$M133)*$BL133)</f>
        <v>17</v>
      </c>
      <c r="T133" s="4" t="n">
        <f aca="false">INT($I133*$BM133*$BF133)</f>
        <v>4</v>
      </c>
      <c r="U133" s="2" t="n">
        <f aca="false">ROUND(MAX($J133,$L133)+(MIN($J133,$L133)*$X133),0)</f>
        <v>4</v>
      </c>
      <c r="V133" s="2" t="n">
        <f aca="false">MAX(1,INT(((MIN($I133:$J133)+(MAX($I133:$J133)*$H133*$Y133)))*$Z133))</f>
        <v>55</v>
      </c>
      <c r="X133" s="5" t="n">
        <f aca="false">VLOOKUP($E133,Role!$A$2:$O$9,14,0)</f>
        <v>1</v>
      </c>
      <c r="Y133" s="5" t="n">
        <f aca="false">VLOOKUP($E133,Role!$A$2:$O$9,15,0)</f>
        <v>1</v>
      </c>
      <c r="Z133" s="5" t="n">
        <f aca="false">VLOOKUP($G133,Movement!$A$2:$C$7,3,0)</f>
        <v>1.5</v>
      </c>
      <c r="AB133" s="5" t="n">
        <f aca="false">INT(5+(($H133-1)/3))</f>
        <v>6</v>
      </c>
      <c r="AC133" s="5" t="n">
        <f aca="false">IF($AB133&lt;$I133,$I133-MAX($AB133,$B133),0)</f>
        <v>1</v>
      </c>
      <c r="AD133" s="5" t="n">
        <f aca="false">(5-ROUND(($H133-1)/3,0))</f>
        <v>4</v>
      </c>
      <c r="AE133" s="5" t="n">
        <f aca="false">IF($AD133&lt;$J133,$J133-MAX($AD133,$B133),0)</f>
        <v>0</v>
      </c>
      <c r="AG133" s="6" t="n">
        <f aca="false">VLOOKUP($F133,Category!$A$2:$AZ$20,24,0)</f>
        <v>0</v>
      </c>
      <c r="AH133" s="6" t="n">
        <f aca="false">VLOOKUP($F133,Category!$A$2:$AZ$20,26,0)</f>
        <v>1.11111111111111</v>
      </c>
      <c r="AI133" s="6" t="n">
        <f aca="false">VLOOKUP($E133,Role!$A$2:$O$9,6,0)</f>
        <v>0.666</v>
      </c>
      <c r="AJ133" s="6" t="n">
        <f aca="false">VLOOKUP($F133,Category!$A$2:$AZ$20,19,0)</f>
        <v>0.181818181818182</v>
      </c>
      <c r="AK133" s="6" t="n">
        <f aca="false">VLOOKUP($F133,Category!$A$2:$AZ$20,21,0)</f>
        <v>0.454545454545455</v>
      </c>
      <c r="AL133" s="6" t="n">
        <f aca="false">VLOOKUP($E133,Role!$A$2:$O$9,7,0)</f>
        <v>0.666</v>
      </c>
      <c r="AM133" s="6" t="n">
        <f aca="false">VLOOKUP($F133,Category!$A$2:$AZ$20,19,0)</f>
        <v>0.181818181818182</v>
      </c>
      <c r="AN133" s="6" t="n">
        <f aca="false">VLOOKUP($F133,Category!$A$2:$AZ$20,21,0)</f>
        <v>0.454545454545455</v>
      </c>
      <c r="AO133" s="6" t="n">
        <f aca="false">VLOOKUP($E133,Role!$A$2:$O$9,5,0)</f>
        <v>0.666</v>
      </c>
      <c r="AP133" s="6" t="n">
        <f aca="false">VLOOKUP($F133,Category!$A$2:$AZ$20,9,0)</f>
        <v>0.222222222222222</v>
      </c>
      <c r="AQ133" s="6" t="n">
        <f aca="false">VLOOKUP($F133,Category!$A$2:$AZ$20,11,0)</f>
        <v>0.444444444444444</v>
      </c>
      <c r="AR133" s="6" t="n">
        <f aca="false">VLOOKUP($F133,Category!$A$2:$AZ$20,10,0)</f>
        <v>0.666666666666667</v>
      </c>
      <c r="AS133" s="6" t="n">
        <f aca="false">VLOOKUP($E133,Role!$A$2:$O$9,4,0)</f>
        <v>0.666</v>
      </c>
      <c r="AT133" s="7" t="n">
        <f aca="false">VLOOKUP($F133,Category!$A$2:$AZ$20,14,0)</f>
        <v>0.333333333333333</v>
      </c>
      <c r="AU133" s="7" t="n">
        <f aca="false">VLOOKUP($F133,Category!$A$2:$AZ$20,16,0)</f>
        <v>0.416666666666667</v>
      </c>
      <c r="AV133" s="7" t="n">
        <f aca="false">VLOOKUP($D133,Size!$A$2:$Z$14,17,0)</f>
        <v>2</v>
      </c>
      <c r="AW133" s="7" t="n">
        <f aca="false">VLOOKUP($E133,Role!$A$2:$O$9,3,0)</f>
        <v>0.666</v>
      </c>
      <c r="AX133" s="7" t="n">
        <f aca="false">VLOOKUP($F133,Category!$A$2:$AZ$20,29,0)</f>
        <v>0.333333333333333</v>
      </c>
      <c r="AY133" s="7" t="n">
        <f aca="false">VLOOKUP($F133,Category!$A$2:$AZ$20,31,0)</f>
        <v>0.333333333333333</v>
      </c>
      <c r="AZ133" s="7" t="n">
        <f aca="false">VLOOKUP($D133,Size!$A$2:$Z$14,16,0)</f>
        <v>5</v>
      </c>
      <c r="BA133" s="7" t="n">
        <f aca="false">VLOOKUP($E133,Role!$A$2:$O$9,2,0)</f>
        <v>0.666</v>
      </c>
      <c r="BC133" s="7" t="n">
        <f aca="false">VLOOKUP($D133,Size!$A$2:$Z$14,19,0)</f>
        <v>18</v>
      </c>
      <c r="BD133" s="7" t="n">
        <f aca="false">VLOOKUP($D133,Size!$A$2:$Z$14,20,0)</f>
        <v>4</v>
      </c>
      <c r="BE133" s="7" t="n">
        <f aca="false">VLOOKUP($E133,Role!$A$2:$O$9,12,0)</f>
        <v>1.25</v>
      </c>
      <c r="BF133" s="7" t="n">
        <f aca="false">VLOOKUP($C133,Type!$A$2:$B$4,2,0)</f>
        <v>1</v>
      </c>
      <c r="BG133" s="7" t="n">
        <f aca="false">VLOOKUP($D133,Size!$A$2:$Z$14,18,0)</f>
        <v>31.2018765062488</v>
      </c>
      <c r="BH133" s="7" t="n">
        <f aca="false">INT($BF133*$BG133*$BE133*$B133/2)</f>
        <v>97</v>
      </c>
      <c r="BI133" s="7" t="n">
        <f aca="false">INT(($BC133*$BF133)+($I133*$BD133))</f>
        <v>46</v>
      </c>
      <c r="BJ133" s="7" t="n">
        <f aca="false">INT((($I133*$BE133)+$BC133)*$BF133)</f>
        <v>26</v>
      </c>
      <c r="BK133" s="14"/>
      <c r="BL133" s="7" t="n">
        <f aca="false">VLOOKUP($E133,Role!$A$2:$O$9,13,0)</f>
        <v>1.25</v>
      </c>
      <c r="BM133" s="7" t="n">
        <f aca="false">VLOOKUP($E133,Role!$A$2:$O$9,11,0)</f>
        <v>0.666</v>
      </c>
      <c r="BO133" s="7" t="n">
        <f aca="false">VLOOKUP($E133,Role!$A$2:$O$9,8,0)</f>
        <v>0.75</v>
      </c>
      <c r="BP133" s="7" t="n">
        <f aca="false">VLOOKUP($E133,Role!$A$2:$O$9,9,0)</f>
        <v>0.75</v>
      </c>
      <c r="BQ133" s="7" t="n">
        <f aca="false">VLOOKUP($E133,Role!$A$2:$O$9,10,0)</f>
        <v>0.5</v>
      </c>
    </row>
    <row r="134" customFormat="false" ht="12.8" hidden="false" customHeight="false" outlineLevel="0" collapsed="false">
      <c r="B134" s="2" t="n">
        <v>5</v>
      </c>
      <c r="C134" s="3" t="s">
        <v>63</v>
      </c>
      <c r="D134" s="1" t="s">
        <v>88</v>
      </c>
      <c r="E134" s="1" t="s">
        <v>70</v>
      </c>
      <c r="F134" s="1" t="s">
        <v>93</v>
      </c>
      <c r="G134" s="1" t="s">
        <v>80</v>
      </c>
      <c r="H134" s="4" t="n">
        <f aca="false">VLOOKUP($D134,Size!$A$2:$Z$14,6,0)</f>
        <v>6</v>
      </c>
      <c r="I134" s="13" t="n">
        <f aca="false">INT(($B134*$AZ134*$AX134*$BA134)+($B134*$AY134))</f>
        <v>7</v>
      </c>
      <c r="J134" s="4" t="n">
        <f aca="false">ROUND((($B134*$AT134)+($AV134*$AU134))*$AW134,0)</f>
        <v>2</v>
      </c>
      <c r="K134" s="4" t="n">
        <f aca="false">ROUND((($B134*$AP134)+($B134*$AQ134))*$AS134,0)</f>
        <v>2</v>
      </c>
      <c r="L134" s="4" t="n">
        <f aca="false">ROUND((($B134*$AM134)+($B134*$AN134))*$AO134,0)</f>
        <v>2</v>
      </c>
      <c r="M134" s="4" t="n">
        <f aca="false">ROUND((($B134*$AG134)+($B134*$AH134))*$AI134,0)</f>
        <v>4</v>
      </c>
      <c r="N134" s="4" t="n">
        <f aca="false">ROUND((($B134*$AJ134)+($B134*$AK134))*$AL134,0)</f>
        <v>2</v>
      </c>
      <c r="O134" s="4" t="n">
        <f aca="false">INT($BO134*$B134)</f>
        <v>3</v>
      </c>
      <c r="P134" s="4" t="n">
        <f aca="false">INT($BP134*$B134)</f>
        <v>3</v>
      </c>
      <c r="Q134" s="4" t="n">
        <f aca="false">INT($BQ134*$B134*$AR134)</f>
        <v>1</v>
      </c>
      <c r="R134" s="4" t="n">
        <f aca="false">IF($R$1="WT/G",INT(POWER($BH134*$BJ134*$BI134,0.333333)),0)+IF($R$1="WT/A",INT(($BH134+$BJ134+$BI134)/3),0)+IF($R$1="WT/A2",INT(($BJ134+$BI134)/2),0)+IF($R$1="WT/W",INT(($BH134+$BJ134+$BJ134+$BI134)/4),0)+IF($R$1="WT/W2",INT(($BH134+$BJ134+$BI134+$BI134)/4),0)+IF($R$1="WT/N",INT(MIN($BH134,$BJ134,$BI134)),0)+IF($R$1="WT/M",INT(MAX($BH134,$BJ134,$BI134)),0)+IF($R$1="WT/1",INT($BH134),0)+IF($R$1="WT/2",INT($BI134),0)+IF($R$1="WT/3",INT($BJ134),0)</f>
        <v>64</v>
      </c>
      <c r="S134" s="4" t="n">
        <f aca="false">INT((10+$M134)*$BL134)</f>
        <v>17</v>
      </c>
      <c r="T134" s="4" t="n">
        <f aca="false">INT($I134*$BM134*$BF134)</f>
        <v>4</v>
      </c>
      <c r="U134" s="2" t="n">
        <f aca="false">ROUND(MAX($J134,$L134)+(MIN($J134,$L134)*$X134),0)</f>
        <v>4</v>
      </c>
      <c r="V134" s="2" t="n">
        <f aca="false">MAX(1,INT(((MIN($I134:$J134)+(MAX($I134:$J134)*$H134*$Y134)))*$Z134))</f>
        <v>66</v>
      </c>
      <c r="X134" s="5" t="n">
        <f aca="false">VLOOKUP($E134,Role!$A$2:$O$9,14,0)</f>
        <v>1</v>
      </c>
      <c r="Y134" s="5" t="n">
        <f aca="false">VLOOKUP($E134,Role!$A$2:$O$9,15,0)</f>
        <v>1</v>
      </c>
      <c r="Z134" s="5" t="n">
        <f aca="false">VLOOKUP($G134,Movement!$A$2:$C$7,3,0)</f>
        <v>1.5</v>
      </c>
      <c r="AB134" s="5" t="n">
        <f aca="false">INT(5+(($H134-1)/3))</f>
        <v>6</v>
      </c>
      <c r="AC134" s="5" t="n">
        <f aca="false">IF($AB134&lt;$I134,$I134-MAX($AB134,$B134),0)</f>
        <v>1</v>
      </c>
      <c r="AD134" s="5" t="n">
        <f aca="false">(5-ROUND(($H134-1)/3,0))</f>
        <v>3</v>
      </c>
      <c r="AE134" s="5" t="n">
        <f aca="false">IF($AD134&lt;$J134,$J134-MAX($AD134,$B134),0)</f>
        <v>0</v>
      </c>
      <c r="AG134" s="6" t="n">
        <f aca="false">VLOOKUP($F134,Category!$A$2:$AZ$20,24,0)</f>
        <v>0</v>
      </c>
      <c r="AH134" s="6" t="n">
        <f aca="false">VLOOKUP($F134,Category!$A$2:$AZ$20,26,0)</f>
        <v>1.11111111111111</v>
      </c>
      <c r="AI134" s="6" t="n">
        <f aca="false">VLOOKUP($E134,Role!$A$2:$O$9,6,0)</f>
        <v>0.666</v>
      </c>
      <c r="AJ134" s="6" t="n">
        <f aca="false">VLOOKUP($F134,Category!$A$2:$AZ$20,19,0)</f>
        <v>0.181818181818182</v>
      </c>
      <c r="AK134" s="6" t="n">
        <f aca="false">VLOOKUP($F134,Category!$A$2:$AZ$20,21,0)</f>
        <v>0.454545454545455</v>
      </c>
      <c r="AL134" s="6" t="n">
        <f aca="false">VLOOKUP($E134,Role!$A$2:$O$9,7,0)</f>
        <v>0.666</v>
      </c>
      <c r="AM134" s="6" t="n">
        <f aca="false">VLOOKUP($F134,Category!$A$2:$AZ$20,19,0)</f>
        <v>0.181818181818182</v>
      </c>
      <c r="AN134" s="6" t="n">
        <f aca="false">VLOOKUP($F134,Category!$A$2:$AZ$20,21,0)</f>
        <v>0.454545454545455</v>
      </c>
      <c r="AO134" s="6" t="n">
        <f aca="false">VLOOKUP($E134,Role!$A$2:$O$9,5,0)</f>
        <v>0.666</v>
      </c>
      <c r="AP134" s="6" t="n">
        <f aca="false">VLOOKUP($F134,Category!$A$2:$AZ$20,9,0)</f>
        <v>0.222222222222222</v>
      </c>
      <c r="AQ134" s="6" t="n">
        <f aca="false">VLOOKUP($F134,Category!$A$2:$AZ$20,11,0)</f>
        <v>0.444444444444444</v>
      </c>
      <c r="AR134" s="6" t="n">
        <f aca="false">VLOOKUP($F134,Category!$A$2:$AZ$20,10,0)</f>
        <v>0.666666666666667</v>
      </c>
      <c r="AS134" s="6" t="n">
        <f aca="false">VLOOKUP($E134,Role!$A$2:$O$9,4,0)</f>
        <v>0.666</v>
      </c>
      <c r="AT134" s="7" t="n">
        <f aca="false">VLOOKUP($F134,Category!$A$2:$AZ$20,14,0)</f>
        <v>0.333333333333333</v>
      </c>
      <c r="AU134" s="7" t="n">
        <f aca="false">VLOOKUP($F134,Category!$A$2:$AZ$20,16,0)</f>
        <v>0.416666666666667</v>
      </c>
      <c r="AV134" s="7" t="n">
        <f aca="false">VLOOKUP($D134,Size!$A$2:$Z$14,17,0)</f>
        <v>2</v>
      </c>
      <c r="AW134" s="7" t="n">
        <f aca="false">VLOOKUP($E134,Role!$A$2:$O$9,3,0)</f>
        <v>0.666</v>
      </c>
      <c r="AX134" s="7" t="n">
        <f aca="false">VLOOKUP($F134,Category!$A$2:$AZ$20,29,0)</f>
        <v>0.333333333333333</v>
      </c>
      <c r="AY134" s="7" t="n">
        <f aca="false">VLOOKUP($F134,Category!$A$2:$AZ$20,31,0)</f>
        <v>0.333333333333333</v>
      </c>
      <c r="AZ134" s="7" t="n">
        <f aca="false">VLOOKUP($D134,Size!$A$2:$Z$14,16,0)</f>
        <v>5</v>
      </c>
      <c r="BA134" s="7" t="n">
        <f aca="false">VLOOKUP($E134,Role!$A$2:$O$9,2,0)</f>
        <v>0.666</v>
      </c>
      <c r="BC134" s="7" t="n">
        <f aca="false">VLOOKUP($D134,Size!$A$2:$Z$14,19,0)</f>
        <v>20</v>
      </c>
      <c r="BD134" s="7" t="n">
        <f aca="false">VLOOKUP($D134,Size!$A$2:$Z$14,20,0)</f>
        <v>5</v>
      </c>
      <c r="BE134" s="7" t="n">
        <f aca="false">VLOOKUP($E134,Role!$A$2:$O$9,12,0)</f>
        <v>1.25</v>
      </c>
      <c r="BF134" s="7" t="n">
        <f aca="false">VLOOKUP($C134,Type!$A$2:$B$4,2,0)</f>
        <v>1</v>
      </c>
      <c r="BG134" s="7" t="n">
        <f aca="false">VLOOKUP($D134,Size!$A$2:$Z$14,18,0)</f>
        <v>38.7177346253629</v>
      </c>
      <c r="BH134" s="7" t="n">
        <f aca="false">INT($BF134*$BG134*$BE134*$B134/2)</f>
        <v>120</v>
      </c>
      <c r="BI134" s="7" t="n">
        <f aca="false">INT(($BC134*$BF134)+($I134*$BD134))</f>
        <v>55</v>
      </c>
      <c r="BJ134" s="7" t="n">
        <f aca="false">INT((($I134*$BE134)+$BC134)*$BF134)</f>
        <v>28</v>
      </c>
      <c r="BK134" s="14"/>
      <c r="BL134" s="7" t="n">
        <f aca="false">VLOOKUP($E134,Role!$A$2:$O$9,13,0)</f>
        <v>1.25</v>
      </c>
      <c r="BM134" s="7" t="n">
        <f aca="false">VLOOKUP($E134,Role!$A$2:$O$9,11,0)</f>
        <v>0.666</v>
      </c>
      <c r="BO134" s="7" t="n">
        <f aca="false">VLOOKUP($E134,Role!$A$2:$O$9,8,0)</f>
        <v>0.75</v>
      </c>
      <c r="BP134" s="7" t="n">
        <f aca="false">VLOOKUP($E134,Role!$A$2:$O$9,9,0)</f>
        <v>0.75</v>
      </c>
      <c r="BQ134" s="7" t="n">
        <f aca="false">VLOOKUP($E134,Role!$A$2:$O$9,10,0)</f>
        <v>0.5</v>
      </c>
    </row>
    <row r="135" customFormat="false" ht="12.8" hidden="false" customHeight="false" outlineLevel="0" collapsed="false">
      <c r="B135" s="2" t="n">
        <v>5</v>
      </c>
      <c r="C135" s="3" t="s">
        <v>63</v>
      </c>
      <c r="D135" s="1" t="s">
        <v>90</v>
      </c>
      <c r="E135" s="1" t="s">
        <v>70</v>
      </c>
      <c r="F135" s="1" t="s">
        <v>93</v>
      </c>
      <c r="G135" s="1" t="s">
        <v>80</v>
      </c>
      <c r="H135" s="4" t="n">
        <f aca="false">VLOOKUP($D135,Size!$A$2:$Z$14,6,0)</f>
        <v>8</v>
      </c>
      <c r="I135" s="13" t="n">
        <f aca="false">INT(($B135*$AZ135*$AX135*$BA135)+($B135*$AY135))</f>
        <v>8</v>
      </c>
      <c r="J135" s="4" t="n">
        <f aca="false">ROUND((($B135*$AT135)+($AV135*$AU135))*$AW135,0)</f>
        <v>1</v>
      </c>
      <c r="K135" s="4" t="n">
        <f aca="false">ROUND((($B135*$AP135)+($B135*$AQ135))*$AS135,0)</f>
        <v>2</v>
      </c>
      <c r="L135" s="4" t="n">
        <f aca="false">ROUND((($B135*$AM135)+($B135*$AN135))*$AO135,0)</f>
        <v>2</v>
      </c>
      <c r="M135" s="4" t="n">
        <f aca="false">ROUND((($B135*$AG135)+($B135*$AH135))*$AI135,0)</f>
        <v>4</v>
      </c>
      <c r="N135" s="4" t="n">
        <f aca="false">ROUND((($B135*$AJ135)+($B135*$AK135))*$AL135,0)</f>
        <v>2</v>
      </c>
      <c r="O135" s="4" t="n">
        <f aca="false">INT($BO135*$B135)</f>
        <v>3</v>
      </c>
      <c r="P135" s="4" t="n">
        <f aca="false">INT($BP135*$B135)</f>
        <v>3</v>
      </c>
      <c r="Q135" s="4" t="n">
        <f aca="false">INT($BQ135*$B135*$AR135)</f>
        <v>1</v>
      </c>
      <c r="R135" s="4" t="n">
        <f aca="false">IF($R$1="WT/G",INT(POWER($BH135*$BJ135*$BI135,0.333333)),0)+IF($R$1="WT/A",INT(($BH135+$BJ135+$BI135)/3),0)+IF($R$1="WT/A2",INT(($BJ135+$BI135)/2),0)+IF($R$1="WT/W",INT(($BH135+$BJ135+$BJ135+$BI135)/4),0)+IF($R$1="WT/W2",INT(($BH135+$BJ135+$BI135+$BI135)/4),0)+IF($R$1="WT/N",INT(MIN($BH135,$BJ135,$BI135)),0)+IF($R$1="WT/M",INT(MAX($BH135,$BJ135,$BI135)),0)+IF($R$1="WT/1",INT($BH135),0)+IF($R$1="WT/2",INT($BI135),0)+IF($R$1="WT/3",INT($BJ135),0)</f>
        <v>91</v>
      </c>
      <c r="S135" s="4" t="n">
        <f aca="false">INT((10+$M135)*$BL135)</f>
        <v>17</v>
      </c>
      <c r="T135" s="4" t="n">
        <f aca="false">INT($I135*$BM135*$BF135)</f>
        <v>5</v>
      </c>
      <c r="U135" s="2" t="n">
        <f aca="false">ROUND(MAX($J135,$L135)+(MIN($J135,$L135)*$X135),0)</f>
        <v>3</v>
      </c>
      <c r="V135" s="2" t="n">
        <f aca="false">MAX(1,INT(((MIN($I135:$J135)+(MAX($I135:$J135)*$H135*$Y135)))*$Z135))</f>
        <v>97</v>
      </c>
      <c r="X135" s="5" t="n">
        <f aca="false">VLOOKUP($E135,Role!$A$2:$O$9,14,0)</f>
        <v>1</v>
      </c>
      <c r="Y135" s="5" t="n">
        <f aca="false">VLOOKUP($E135,Role!$A$2:$O$9,15,0)</f>
        <v>1</v>
      </c>
      <c r="Z135" s="5" t="n">
        <f aca="false">VLOOKUP($G135,Movement!$A$2:$C$7,3,0)</f>
        <v>1.5</v>
      </c>
      <c r="AB135" s="5" t="n">
        <f aca="false">INT(5+(($H135-1)/3))</f>
        <v>7</v>
      </c>
      <c r="AC135" s="5" t="n">
        <f aca="false">IF($AB135&lt;$I135,$I135-MAX($AB135,$B135),0)</f>
        <v>1</v>
      </c>
      <c r="AD135" s="5" t="n">
        <f aca="false">(5-ROUND(($H135-1)/3,0))</f>
        <v>3</v>
      </c>
      <c r="AE135" s="5" t="n">
        <f aca="false">IF($AD135&lt;$J135,$J135-MAX($AD135,$B135),0)</f>
        <v>0</v>
      </c>
      <c r="AG135" s="6" t="n">
        <f aca="false">VLOOKUP($F135,Category!$A$2:$AZ$20,24,0)</f>
        <v>0</v>
      </c>
      <c r="AH135" s="6" t="n">
        <f aca="false">VLOOKUP($F135,Category!$A$2:$AZ$20,26,0)</f>
        <v>1.11111111111111</v>
      </c>
      <c r="AI135" s="6" t="n">
        <f aca="false">VLOOKUP($E135,Role!$A$2:$O$9,6,0)</f>
        <v>0.666</v>
      </c>
      <c r="AJ135" s="6" t="n">
        <f aca="false">VLOOKUP($F135,Category!$A$2:$AZ$20,19,0)</f>
        <v>0.181818181818182</v>
      </c>
      <c r="AK135" s="6" t="n">
        <f aca="false">VLOOKUP($F135,Category!$A$2:$AZ$20,21,0)</f>
        <v>0.454545454545455</v>
      </c>
      <c r="AL135" s="6" t="n">
        <f aca="false">VLOOKUP($E135,Role!$A$2:$O$9,7,0)</f>
        <v>0.666</v>
      </c>
      <c r="AM135" s="6" t="n">
        <f aca="false">VLOOKUP($F135,Category!$A$2:$AZ$20,19,0)</f>
        <v>0.181818181818182</v>
      </c>
      <c r="AN135" s="6" t="n">
        <f aca="false">VLOOKUP($F135,Category!$A$2:$AZ$20,21,0)</f>
        <v>0.454545454545455</v>
      </c>
      <c r="AO135" s="6" t="n">
        <f aca="false">VLOOKUP($E135,Role!$A$2:$O$9,5,0)</f>
        <v>0.666</v>
      </c>
      <c r="AP135" s="6" t="n">
        <f aca="false">VLOOKUP($F135,Category!$A$2:$AZ$20,9,0)</f>
        <v>0.222222222222222</v>
      </c>
      <c r="AQ135" s="6" t="n">
        <f aca="false">VLOOKUP($F135,Category!$A$2:$AZ$20,11,0)</f>
        <v>0.444444444444444</v>
      </c>
      <c r="AR135" s="6" t="n">
        <f aca="false">VLOOKUP($F135,Category!$A$2:$AZ$20,10,0)</f>
        <v>0.666666666666667</v>
      </c>
      <c r="AS135" s="6" t="n">
        <f aca="false">VLOOKUP($E135,Role!$A$2:$O$9,4,0)</f>
        <v>0.666</v>
      </c>
      <c r="AT135" s="7" t="n">
        <f aca="false">VLOOKUP($F135,Category!$A$2:$AZ$20,14,0)</f>
        <v>0.333333333333333</v>
      </c>
      <c r="AU135" s="7" t="n">
        <f aca="false">VLOOKUP($F135,Category!$A$2:$AZ$20,16,0)</f>
        <v>0.416666666666667</v>
      </c>
      <c r="AV135" s="7" t="n">
        <f aca="false">VLOOKUP($D135,Size!$A$2:$Z$14,17,0)</f>
        <v>1</v>
      </c>
      <c r="AW135" s="7" t="n">
        <f aca="false">VLOOKUP($E135,Role!$A$2:$O$9,3,0)</f>
        <v>0.666</v>
      </c>
      <c r="AX135" s="7" t="n">
        <f aca="false">VLOOKUP($F135,Category!$A$2:$AZ$20,29,0)</f>
        <v>0.333333333333333</v>
      </c>
      <c r="AY135" s="7" t="n">
        <f aca="false">VLOOKUP($F135,Category!$A$2:$AZ$20,31,0)</f>
        <v>0.333333333333333</v>
      </c>
      <c r="AZ135" s="7" t="n">
        <f aca="false">VLOOKUP($D135,Size!$A$2:$Z$14,16,0)</f>
        <v>6</v>
      </c>
      <c r="BA135" s="7" t="n">
        <f aca="false">VLOOKUP($E135,Role!$A$2:$O$9,2,0)</f>
        <v>0.666</v>
      </c>
      <c r="BC135" s="7" t="n">
        <f aca="false">VLOOKUP($D135,Size!$A$2:$Z$14,19,0)</f>
        <v>24</v>
      </c>
      <c r="BD135" s="7" t="n">
        <f aca="false">VLOOKUP($D135,Size!$A$2:$Z$14,20,0)</f>
        <v>7</v>
      </c>
      <c r="BE135" s="7" t="n">
        <f aca="false">VLOOKUP($E135,Role!$A$2:$O$9,12,0)</f>
        <v>1.25</v>
      </c>
      <c r="BF135" s="7" t="n">
        <f aca="false">VLOOKUP($C135,Type!$A$2:$B$4,2,0)</f>
        <v>1</v>
      </c>
      <c r="BG135" s="7" t="n">
        <f aca="false">VLOOKUP($D135,Size!$A$2:$Z$14,18,0)</f>
        <v>55.5397251732031</v>
      </c>
      <c r="BH135" s="7" t="n">
        <f aca="false">INT($BF135*$BG135*$BE135*$B135/2)</f>
        <v>173</v>
      </c>
      <c r="BI135" s="7" t="n">
        <f aca="false">INT(($BC135*$BF135)+($I135*$BD135))</f>
        <v>80</v>
      </c>
      <c r="BJ135" s="7" t="n">
        <f aca="false">INT((($I135*$BE135)+$BC135)*$BF135)</f>
        <v>34</v>
      </c>
      <c r="BK135" s="14"/>
      <c r="BL135" s="7" t="n">
        <f aca="false">VLOOKUP($E135,Role!$A$2:$O$9,13,0)</f>
        <v>1.25</v>
      </c>
      <c r="BM135" s="7" t="n">
        <f aca="false">VLOOKUP($E135,Role!$A$2:$O$9,11,0)</f>
        <v>0.666</v>
      </c>
      <c r="BO135" s="7" t="n">
        <f aca="false">VLOOKUP($E135,Role!$A$2:$O$9,8,0)</f>
        <v>0.75</v>
      </c>
      <c r="BP135" s="7" t="n">
        <f aca="false">VLOOKUP($E135,Role!$A$2:$O$9,9,0)</f>
        <v>0.75</v>
      </c>
      <c r="BQ135" s="7" t="n">
        <f aca="false">VLOOKUP($E135,Role!$A$2:$O$9,10,0)</f>
        <v>0.5</v>
      </c>
    </row>
    <row r="136" customFormat="false" ht="12.8" hidden="false" customHeight="false" outlineLevel="0" collapsed="false">
      <c r="E136" s="1" t="s">
        <v>70</v>
      </c>
      <c r="H136" s="4" t="e">
        <f aca="false">VLOOKUP($D136,Size!$A$2:$Z$14,6,0)</f>
        <v>#N/A</v>
      </c>
      <c r="I136" s="13" t="e">
        <f aca="false">INT(($B136*$AZ136*$AX136*$BA136)+($B136*$AY136))</f>
        <v>#N/A</v>
      </c>
      <c r="J136" s="4" t="e">
        <f aca="false">ROUND((($B136*$AT136)+($AV136*$AU136))*$AW136,0)</f>
        <v>#N/A</v>
      </c>
      <c r="K136" s="4" t="e">
        <f aca="false">ROUND((($B136*$AP136)+($B136*$AQ136))*$AS136,0)</f>
        <v>#N/A</v>
      </c>
      <c r="L136" s="4" t="e">
        <f aca="false">ROUND((($B136*$AM136)+($B136*$AN136))*$AO136,0)</f>
        <v>#N/A</v>
      </c>
      <c r="M136" s="4" t="e">
        <f aca="false">ROUND((($B136*$AG136)+($B136*$AH136))*$AI136,0)</f>
        <v>#N/A</v>
      </c>
      <c r="N136" s="4" t="e">
        <f aca="false">ROUND((($B136*$AJ136)+($B136*$AK136))*$AL136,0)</f>
        <v>#N/A</v>
      </c>
      <c r="O136" s="4" t="n">
        <f aca="false">INT($BO136*$B136)</f>
        <v>0</v>
      </c>
      <c r="P136" s="4" t="n">
        <f aca="false">INT($BP136*$B136)</f>
        <v>0</v>
      </c>
      <c r="Q136" s="4" t="e">
        <f aca="false">INT($BQ136*$B136*$AR136)</f>
        <v>#N/A</v>
      </c>
      <c r="R136" s="4" t="e">
        <f aca="false">IF($R$1="WT/G",INT(POWER($BH136*$BJ136*$BI136,0.333333)),0)+IF($R$1="WT/A",INT(($BH136+$BJ136+$BI136)/3),0)+IF($R$1="WT/A2",INT(($BJ136+$BI136)/2),0)+IF($R$1="WT/W",INT(($BH136+$BJ136+$BJ136+$BI136)/4),0)+IF($R$1="WT/W2",INT(($BH136+$BJ136+$BI136+$BI136)/4),0)+IF($R$1="WT/N",INT(MIN($BH136,$BJ136,$BI136)),0)+IF($R$1="WT/M",INT(MAX($BH136,$BJ136,$BI136)),0)+IF($R$1="WT/1",INT($BH136),0)+IF($R$1="WT/2",INT($BI136),0)+IF($R$1="WT/3",INT($BJ136),0)</f>
        <v>#N/A</v>
      </c>
      <c r="S136" s="4" t="e">
        <f aca="false">INT((10+$M136)*$BL136)</f>
        <v>#N/A</v>
      </c>
      <c r="T136" s="4" t="e">
        <f aca="false">INT($I136*$BM136*$BF136)</f>
        <v>#N/A</v>
      </c>
      <c r="U136" s="2" t="e">
        <f aca="false">ROUND(MAX($J136,$L136)+(MIN($J136,$L136)*$X136),0)</f>
        <v>#N/A</v>
      </c>
      <c r="V136" s="2" t="e">
        <f aca="false">MAX(1,INT(((MIN($I136:$J136)+(MAX($I136:$J136)*$H136*$Y136)))*$Z136))</f>
        <v>#N/A</v>
      </c>
      <c r="X136" s="5" t="n">
        <f aca="false">VLOOKUP($E136,Role!$A$2:$O$9,14,0)</f>
        <v>1</v>
      </c>
      <c r="Y136" s="5" t="n">
        <f aca="false">VLOOKUP($E136,Role!$A$2:$O$9,15,0)</f>
        <v>1</v>
      </c>
      <c r="Z136" s="5" t="e">
        <f aca="false">VLOOKUP($G136,Movement!$A$2:$C$7,3,0)</f>
        <v>#N/A</v>
      </c>
      <c r="AB136" s="5" t="e">
        <f aca="false">INT(5+(($H136-1)/3))</f>
        <v>#N/A</v>
      </c>
      <c r="AC136" s="5" t="e">
        <f aca="false">IF($AB136&lt;$I136,$I136-MAX($AB136,$B136),0)</f>
        <v>#N/A</v>
      </c>
      <c r="AD136" s="5" t="e">
        <f aca="false">(5-ROUND(($H136-1)/3,0))</f>
        <v>#N/A</v>
      </c>
      <c r="AE136" s="5" t="e">
        <f aca="false">IF($AD136&lt;$J136,$J136-MAX($AD136,$B136),0)</f>
        <v>#N/A</v>
      </c>
      <c r="AG136" s="6" t="e">
        <f aca="false">VLOOKUP($F136,Category!$A$2:$AZ$20,24,0)</f>
        <v>#N/A</v>
      </c>
      <c r="AH136" s="6" t="e">
        <f aca="false">VLOOKUP($F136,Category!$A$2:$AZ$20,26,0)</f>
        <v>#N/A</v>
      </c>
      <c r="AI136" s="6" t="n">
        <f aca="false">VLOOKUP($E136,Role!$A$2:$O$9,6,0)</f>
        <v>0.666</v>
      </c>
      <c r="AJ136" s="6" t="e">
        <f aca="false">VLOOKUP($F136,Category!$A$2:$AZ$20,19,0)</f>
        <v>#N/A</v>
      </c>
      <c r="AK136" s="6" t="e">
        <f aca="false">VLOOKUP($F136,Category!$A$2:$AZ$20,21,0)</f>
        <v>#N/A</v>
      </c>
      <c r="AL136" s="6" t="n">
        <f aca="false">VLOOKUP($E136,Role!$A$2:$O$9,7,0)</f>
        <v>0.666</v>
      </c>
      <c r="AM136" s="6" t="e">
        <f aca="false">VLOOKUP($F136,Category!$A$2:$AZ$20,19,0)</f>
        <v>#N/A</v>
      </c>
      <c r="AN136" s="6" t="e">
        <f aca="false">VLOOKUP($F136,Category!$A$2:$AZ$20,21,0)</f>
        <v>#N/A</v>
      </c>
      <c r="AO136" s="6" t="n">
        <f aca="false">VLOOKUP($E136,Role!$A$2:$O$9,5,0)</f>
        <v>0.666</v>
      </c>
      <c r="AP136" s="6" t="e">
        <f aca="false">VLOOKUP($F136,Category!$A$2:$AZ$20,9,0)</f>
        <v>#N/A</v>
      </c>
      <c r="AQ136" s="6" t="e">
        <f aca="false">VLOOKUP($F136,Category!$A$2:$AZ$20,11,0)</f>
        <v>#N/A</v>
      </c>
      <c r="AR136" s="6" t="e">
        <f aca="false">VLOOKUP($F136,Category!$A$2:$AZ$20,10,0)</f>
        <v>#N/A</v>
      </c>
      <c r="AS136" s="6" t="n">
        <f aca="false">VLOOKUP($E136,Role!$A$2:$O$9,4,0)</f>
        <v>0.666</v>
      </c>
      <c r="AT136" s="7" t="e">
        <f aca="false">VLOOKUP($F136,Category!$A$2:$AZ$20,14,0)</f>
        <v>#N/A</v>
      </c>
      <c r="AU136" s="7" t="e">
        <f aca="false">VLOOKUP($F136,Category!$A$2:$AZ$20,16,0)</f>
        <v>#N/A</v>
      </c>
      <c r="AV136" s="7" t="e">
        <f aca="false">VLOOKUP($D136,Size!$A$2:$Z$14,17,0)</f>
        <v>#N/A</v>
      </c>
      <c r="AW136" s="7" t="n">
        <f aca="false">VLOOKUP($E136,Role!$A$2:$O$9,3,0)</f>
        <v>0.666</v>
      </c>
      <c r="AX136" s="7" t="e">
        <f aca="false">VLOOKUP($F136,Category!$A$2:$AZ$20,29,0)</f>
        <v>#N/A</v>
      </c>
      <c r="AY136" s="7" t="e">
        <f aca="false">VLOOKUP($F136,Category!$A$2:$AZ$20,31,0)</f>
        <v>#N/A</v>
      </c>
      <c r="AZ136" s="7" t="e">
        <f aca="false">VLOOKUP($D136,Size!$A$2:$Z$14,16,0)</f>
        <v>#N/A</v>
      </c>
      <c r="BA136" s="7" t="n">
        <f aca="false">VLOOKUP($E136,Role!$A$2:$O$9,2,0)</f>
        <v>0.666</v>
      </c>
      <c r="BC136" s="7" t="e">
        <f aca="false">VLOOKUP($D136,Size!$A$2:$Z$14,19,0)</f>
        <v>#N/A</v>
      </c>
      <c r="BD136" s="7" t="e">
        <f aca="false">VLOOKUP($D136,Size!$A$2:$Z$14,20,0)</f>
        <v>#N/A</v>
      </c>
      <c r="BE136" s="7" t="n">
        <f aca="false">VLOOKUP($E136,Role!$A$2:$O$9,12,0)</f>
        <v>1.25</v>
      </c>
      <c r="BF136" s="7" t="e">
        <f aca="false">VLOOKUP($C136,Type!$A$2:$B$4,2,0)</f>
        <v>#N/A</v>
      </c>
      <c r="BG136" s="7" t="e">
        <f aca="false">VLOOKUP($D136,Size!$A$2:$Z$14,18,0)</f>
        <v>#N/A</v>
      </c>
      <c r="BH136" s="7" t="e">
        <f aca="false">INT($BF136*$BG136*$BE136*$B136/2)</f>
        <v>#N/A</v>
      </c>
      <c r="BI136" s="7" t="e">
        <f aca="false">INT(($BC136*$BF136)+($I136*$BD136))</f>
        <v>#N/A</v>
      </c>
      <c r="BJ136" s="7" t="e">
        <f aca="false">INT((($I136*$BE136)+$BC136)*$BF136)</f>
        <v>#N/A</v>
      </c>
      <c r="BK136" s="14"/>
      <c r="BL136" s="7" t="n">
        <f aca="false">VLOOKUP($E136,Role!$A$2:$O$9,13,0)</f>
        <v>1.25</v>
      </c>
      <c r="BM136" s="7" t="n">
        <f aca="false">VLOOKUP($E136,Role!$A$2:$O$9,11,0)</f>
        <v>0.666</v>
      </c>
      <c r="BO136" s="7" t="n">
        <f aca="false">VLOOKUP($E136,Role!$A$2:$O$9,8,0)</f>
        <v>0.75</v>
      </c>
      <c r="BP136" s="7" t="n">
        <f aca="false">VLOOKUP($E136,Role!$A$2:$O$9,9,0)</f>
        <v>0.75</v>
      </c>
      <c r="BQ136" s="7" t="n">
        <f aca="false">VLOOKUP($E136,Role!$A$2:$O$9,10,0)</f>
        <v>0.5</v>
      </c>
    </row>
    <row r="137" customFormat="false" ht="12.8" hidden="false" customHeight="false" outlineLevel="0" collapsed="false">
      <c r="B137" s="2" t="n">
        <v>2</v>
      </c>
      <c r="C137" s="3" t="s">
        <v>77</v>
      </c>
      <c r="D137" s="1" t="s">
        <v>64</v>
      </c>
      <c r="E137" s="1" t="s">
        <v>71</v>
      </c>
      <c r="F137" s="1" t="s">
        <v>92</v>
      </c>
      <c r="G137" s="1" t="s">
        <v>94</v>
      </c>
      <c r="H137" s="4" t="n">
        <f aca="false">VLOOKUP($D137,Size!$A$2:$Z$14,6,0)</f>
        <v>1</v>
      </c>
      <c r="I137" s="13" t="n">
        <f aca="false">INT(($B137*$AZ137*$AX137*$BA137)+($B137*$AY137))</f>
        <v>2</v>
      </c>
      <c r="J137" s="4" t="n">
        <f aca="false">ROUND((($B137*$AT137)+($AV137*$AU137))*$AW137,0)</f>
        <v>2</v>
      </c>
      <c r="K137" s="4" t="n">
        <f aca="false">ROUND((($B137*$AP137)+($B137*$AQ137))*$AS137,0)</f>
        <v>1</v>
      </c>
      <c r="L137" s="4" t="n">
        <f aca="false">ROUND((($B137*$AM137)+($B137*$AN137))*$AO137,0)</f>
        <v>1</v>
      </c>
      <c r="M137" s="4" t="n">
        <f aca="false">ROUND((($B137*$AG137)+($B137*$AH137))*$AI137,0)</f>
        <v>1</v>
      </c>
      <c r="N137" s="4" t="n">
        <f aca="false">ROUND((($B137*$AJ137)+($B137*$AK137))*$AL137,0)</f>
        <v>1</v>
      </c>
      <c r="O137" s="4" t="n">
        <f aca="false">INT($BO137*$B137)</f>
        <v>2</v>
      </c>
      <c r="P137" s="4" t="n">
        <f aca="false">INT($BP137*$B137)</f>
        <v>1</v>
      </c>
      <c r="Q137" s="4" t="n">
        <f aca="false">INT($BQ137*$B137*$AR137)</f>
        <v>1</v>
      </c>
      <c r="R137" s="4" t="n">
        <f aca="false">IF($R$1="WT/G",INT(POWER($BH137*$BJ137*$BI137,0.333333)),0)+IF($R$1="WT/A",INT(($BH137+$BJ137+$BI137)/3),0)+IF($R$1="WT/A2",INT(($BJ137+$BI137)/2),0)+IF($R$1="WT/W",INT(($BH137+$BJ137+$BJ137+$BI137)/4),0)+IF($R$1="WT/W2",INT(($BH137+$BJ137+$BI137+$BI137)/4),0)+IF($R$1="WT/N",INT(MIN($BH137,$BJ137,$BI137)),0)+IF($R$1="WT/M",INT(MAX($BH137,$BJ137,$BI137)),0)+IF($R$1="WT/1",INT($BH137),0)+IF($R$1="WT/2",INT($BI137),0)+IF($R$1="WT/3",INT($BJ137),0)</f>
        <v>7</v>
      </c>
      <c r="S137" s="4" t="n">
        <f aca="false">INT((10+$M137)*$BL137)</f>
        <v>13</v>
      </c>
      <c r="T137" s="4" t="n">
        <f aca="false">INT($I137*$BM137*$BF137)</f>
        <v>0</v>
      </c>
      <c r="U137" s="2" t="n">
        <f aca="false">ROUND(MAX($J137,$L137)+(MIN($J137,$L137)*$X137),0)</f>
        <v>3</v>
      </c>
      <c r="V137" s="2" t="n">
        <f aca="false">MAX(1,INT(((MIN($I137:$J137)+(MAX($I137:$J137)*$H137*$Y137)))*$Z137))</f>
        <v>10</v>
      </c>
      <c r="X137" s="5" t="n">
        <f aca="false">VLOOKUP($E137,Role!$A$2:$O$9,14,0)</f>
        <v>1</v>
      </c>
      <c r="Y137" s="5" t="n">
        <f aca="false">VLOOKUP($E137,Role!$A$2:$O$9,15,0)</f>
        <v>1.5</v>
      </c>
      <c r="Z137" s="5" t="n">
        <f aca="false">VLOOKUP($G137,Movement!$A$2:$C$7,3,0)</f>
        <v>2</v>
      </c>
      <c r="AB137" s="5" t="n">
        <f aca="false">INT(5+(($H137-1)/3))</f>
        <v>5</v>
      </c>
      <c r="AC137" s="5" t="n">
        <f aca="false">IF($AB137&lt;$I137,$I137-MAX($AB137,$B137),0)</f>
        <v>0</v>
      </c>
      <c r="AD137" s="5" t="n">
        <f aca="false">(5-ROUND(($H137-1)/3,0))</f>
        <v>5</v>
      </c>
      <c r="AE137" s="5" t="n">
        <f aca="false">IF($AD137&lt;$J137,$J137-MAX($AD137,$B137),0)</f>
        <v>0</v>
      </c>
      <c r="AG137" s="6" t="n">
        <f aca="false">VLOOKUP($F137,Category!$A$2:$AZ$20,24,0)</f>
        <v>0.111111111111111</v>
      </c>
      <c r="AH137" s="6" t="n">
        <f aca="false">VLOOKUP($F137,Category!$A$2:$AZ$20,26,0)</f>
        <v>0.444444444444444</v>
      </c>
      <c r="AI137" s="6" t="n">
        <f aca="false">VLOOKUP($E137,Role!$A$2:$O$9,6,0)</f>
        <v>1</v>
      </c>
      <c r="AJ137" s="6" t="n">
        <f aca="false">VLOOKUP($F137,Category!$A$2:$AZ$20,19,0)</f>
        <v>0.0909090909090909</v>
      </c>
      <c r="AK137" s="6" t="n">
        <f aca="false">VLOOKUP($F137,Category!$A$2:$AZ$20,21,0)</f>
        <v>0.545454545454545</v>
      </c>
      <c r="AL137" s="6" t="n">
        <f aca="false">VLOOKUP($E137,Role!$A$2:$O$9,7,0)</f>
        <v>1</v>
      </c>
      <c r="AM137" s="6" t="n">
        <f aca="false">VLOOKUP($F137,Category!$A$2:$AZ$20,19,0)</f>
        <v>0.0909090909090909</v>
      </c>
      <c r="AN137" s="6" t="n">
        <f aca="false">VLOOKUP($F137,Category!$A$2:$AZ$20,21,0)</f>
        <v>0.545454545454545</v>
      </c>
      <c r="AO137" s="6" t="n">
        <f aca="false">VLOOKUP($E137,Role!$A$2:$O$9,5,0)</f>
        <v>1</v>
      </c>
      <c r="AP137" s="6" t="n">
        <f aca="false">VLOOKUP($F137,Category!$A$2:$AZ$20,9,0)</f>
        <v>0.222222222222222</v>
      </c>
      <c r="AQ137" s="6" t="n">
        <f aca="false">VLOOKUP($F137,Category!$A$2:$AZ$20,11,0)</f>
        <v>0.444444444444444</v>
      </c>
      <c r="AR137" s="6" t="n">
        <f aca="false">VLOOKUP($F137,Category!$A$2:$AZ$20,10,0)</f>
        <v>0.666666666666667</v>
      </c>
      <c r="AS137" s="6" t="n">
        <f aca="false">VLOOKUP($E137,Role!$A$2:$O$9,4,0)</f>
        <v>1</v>
      </c>
      <c r="AT137" s="7" t="n">
        <f aca="false">VLOOKUP($F137,Category!$A$2:$AZ$20,14,0)</f>
        <v>0.416666666666667</v>
      </c>
      <c r="AU137" s="7" t="n">
        <f aca="false">VLOOKUP($F137,Category!$A$2:$AZ$20,16,0)</f>
        <v>0.25</v>
      </c>
      <c r="AV137" s="7" t="n">
        <f aca="false">VLOOKUP($D137,Size!$A$2:$Z$14,17,0)</f>
        <v>3</v>
      </c>
      <c r="AW137" s="7" t="n">
        <f aca="false">VLOOKUP($E137,Role!$A$2:$O$9,3,0)</f>
        <v>1.2</v>
      </c>
      <c r="AX137" s="7" t="n">
        <f aca="false">VLOOKUP($F137,Category!$A$2:$AZ$20,29,0)</f>
        <v>0.333333333333333</v>
      </c>
      <c r="AY137" s="7" t="n">
        <f aca="false">VLOOKUP($F137,Category!$A$2:$AZ$20,31,0)</f>
        <v>0.444444444444444</v>
      </c>
      <c r="AZ137" s="7" t="n">
        <f aca="false">VLOOKUP($D137,Size!$A$2:$Z$14,16,0)</f>
        <v>3</v>
      </c>
      <c r="BA137" s="7" t="n">
        <f aca="false">VLOOKUP($E137,Role!$A$2:$O$9,2,0)</f>
        <v>1</v>
      </c>
      <c r="BC137" s="7" t="n">
        <f aca="false">VLOOKUP($D137,Size!$A$2:$Z$14,19,0)</f>
        <v>10</v>
      </c>
      <c r="BD137" s="7" t="n">
        <f aca="false">VLOOKUP($D137,Size!$A$2:$Z$14,20,0)</f>
        <v>1</v>
      </c>
      <c r="BE137" s="7" t="n">
        <f aca="false">VLOOKUP($E137,Role!$A$2:$O$9,12,0)</f>
        <v>1.5</v>
      </c>
      <c r="BF137" s="7" t="n">
        <f aca="false">VLOOKUP($C137,Type!$A$2:$B$4,2,0)</f>
        <v>0.5</v>
      </c>
      <c r="BG137" s="7" t="n">
        <f aca="false">VLOOKUP($D137,Size!$A$2:$Z$14,18,0)</f>
        <v>13</v>
      </c>
      <c r="BH137" s="7" t="n">
        <f aca="false">INT($BF137*$BG137*$BE137*$B137/2)</f>
        <v>9</v>
      </c>
      <c r="BI137" s="7" t="n">
        <f aca="false">INT(($BC137*$BF137)+($I137*$BD137))</f>
        <v>7</v>
      </c>
      <c r="BJ137" s="7" t="n">
        <f aca="false">INT((($I137*$BE137)+$BC137)*$BF137)</f>
        <v>6</v>
      </c>
      <c r="BK137" s="14"/>
      <c r="BL137" s="7" t="n">
        <f aca="false">VLOOKUP($E137,Role!$A$2:$O$9,13,0)</f>
        <v>1.25</v>
      </c>
      <c r="BM137" s="7" t="n">
        <f aca="false">VLOOKUP($E137,Role!$A$2:$O$9,11,0)</f>
        <v>0.666</v>
      </c>
      <c r="BO137" s="7" t="n">
        <f aca="false">VLOOKUP($E137,Role!$A$2:$O$9,8,0)</f>
        <v>1</v>
      </c>
      <c r="BP137" s="7" t="n">
        <f aca="false">VLOOKUP($E137,Role!$A$2:$O$9,9,0)</f>
        <v>0.75</v>
      </c>
      <c r="BQ137" s="7" t="n">
        <f aca="false">VLOOKUP($E137,Role!$A$2:$O$9,10,0)</f>
        <v>0.9</v>
      </c>
    </row>
  </sheetData>
  <conditionalFormatting sqref="I1:N1048576">
    <cfRule type="cellIs" priority="2" operator="greaterThan" aboveAverage="0" equalAverage="0" bottom="0" percent="0" rank="0" text="" dxfId="0">
      <formula>5</formula>
    </cfRule>
  </conditionalFormatting>
  <dataValidations count="6">
    <dataValidation allowBlank="true" operator="equal" showDropDown="false" showErrorMessage="true" showInputMessage="false" sqref="C2:C135 C137" type="list">
      <formula1>Type!$A$2:$A$4</formula1>
      <formula2>0</formula2>
    </dataValidation>
    <dataValidation allowBlank="true" operator="equal" showDropDown="false" showErrorMessage="true" showInputMessage="false" sqref="D2:D16 D30:D137" type="list">
      <formula1>Size!$A$2:$A$14</formula1>
      <formula2>0</formula2>
    </dataValidation>
    <dataValidation allowBlank="true" operator="equal" showDropDown="false" showErrorMessage="true" showInputMessage="false" sqref="F2:F111 F113:F123 F125:F135 F137" type="list">
      <formula1>Category!$A$2:$A$20</formula1>
      <formula2>0</formula2>
    </dataValidation>
    <dataValidation allowBlank="true" operator="equal" showDropDown="false" showErrorMessage="true" showInputMessage="false" sqref="G2:G109 G111 G113:G123 G125:G135 G137" type="list">
      <formula1>Movement!$A$2:$A$7</formula1>
      <formula2>0</formula2>
    </dataValidation>
    <dataValidation allowBlank="true" operator="equal" showDropDown="false" showErrorMessage="true" showInputMessage="false" sqref="E2:E137" type="list">
      <formula1>Role!$A$2:$A$9</formula1>
      <formula2>0</formula2>
    </dataValidation>
    <dataValidation allowBlank="false" operator="equal" showDropDown="false" showErrorMessage="true" showInputMessage="false" sqref="R1" type="list">
      <formula1>"WT/1,WT/2,WT/3,WT/A,WT/A2,WT/G,WT/W,WT/W2,WT/N,WT/M"</formula1>
      <formula2>0</formula2>
    </dataValidation>
  </dataValidation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5" activeCellId="0" sqref="B5"/>
    </sheetView>
  </sheetViews>
  <sheetFormatPr defaultRowHeight="12.8" zeroHeight="false" outlineLevelRow="0" outlineLevelCol="0"/>
  <cols>
    <col collapsed="false" customWidth="false" hidden="false" outlineLevel="0" max="1025" min="1" style="0" width="11.52"/>
  </cols>
  <sheetData>
    <row r="1" customFormat="false" ht="12.8" hidden="false" customHeight="false" outlineLevel="0" collapsed="false">
      <c r="A1" s="16" t="s">
        <v>2</v>
      </c>
      <c r="B1" s="16" t="s">
        <v>51</v>
      </c>
    </row>
    <row r="2" customFormat="false" ht="12.8" hidden="false" customHeight="false" outlineLevel="0" collapsed="false">
      <c r="A2" s="0" t="s">
        <v>77</v>
      </c>
      <c r="B2" s="0" t="n">
        <v>0.5</v>
      </c>
    </row>
    <row r="3" customFormat="false" ht="12.8" hidden="false" customHeight="false" outlineLevel="0" collapsed="false">
      <c r="A3" s="0" t="s">
        <v>63</v>
      </c>
      <c r="B3" s="0" t="n">
        <v>1</v>
      </c>
    </row>
    <row r="4" customFormat="false" ht="12.8" hidden="false" customHeight="false" outlineLevel="0" collapsed="false">
      <c r="A4" s="0" t="s">
        <v>95</v>
      </c>
      <c r="B4" s="0" t="n">
        <v>1.5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4" activeCellId="0" sqref="C4"/>
    </sheetView>
  </sheetViews>
  <sheetFormatPr defaultRowHeight="12.8" zeroHeight="false" outlineLevelRow="0" outlineLevelCol="0"/>
  <cols>
    <col collapsed="false" customWidth="true" hidden="false" outlineLevel="0" max="1" min="1" style="0" width="23.34"/>
    <col collapsed="false" customWidth="false" hidden="false" outlineLevel="0" max="1025" min="2" style="0" width="11.52"/>
  </cols>
  <sheetData>
    <row r="1" customFormat="false" ht="12.8" hidden="false" customHeight="false" outlineLevel="0" collapsed="false">
      <c r="A1" s="16" t="s">
        <v>96</v>
      </c>
      <c r="B1" s="16" t="s">
        <v>97</v>
      </c>
      <c r="C1" s="16" t="s">
        <v>98</v>
      </c>
    </row>
    <row r="2" customFormat="false" ht="12.8" hidden="false" customHeight="false" outlineLevel="0" collapsed="false">
      <c r="A2" s="0" t="s">
        <v>67</v>
      </c>
      <c r="B2" s="0" t="n">
        <v>20</v>
      </c>
      <c r="C2" s="0" t="n">
        <f aca="false">$B2/20</f>
        <v>1</v>
      </c>
    </row>
    <row r="3" customFormat="false" ht="12.8" hidden="false" customHeight="false" outlineLevel="0" collapsed="false">
      <c r="A3" s="0" t="s">
        <v>99</v>
      </c>
      <c r="B3" s="0" t="n">
        <v>44</v>
      </c>
      <c r="C3" s="0" t="n">
        <f aca="false">$B3/20</f>
        <v>2.2</v>
      </c>
    </row>
    <row r="4" customFormat="false" ht="12.8" hidden="false" customHeight="false" outlineLevel="0" collapsed="false">
      <c r="A4" s="0" t="s">
        <v>94</v>
      </c>
      <c r="B4" s="0" t="n">
        <v>40</v>
      </c>
      <c r="C4" s="0" t="n">
        <f aca="false">$B4/20</f>
        <v>2</v>
      </c>
    </row>
    <row r="5" customFormat="false" ht="12.8" hidden="false" customHeight="false" outlineLevel="0" collapsed="false">
      <c r="A5" s="0" t="s">
        <v>80</v>
      </c>
      <c r="B5" s="0" t="n">
        <v>30</v>
      </c>
      <c r="C5" s="0" t="n">
        <f aca="false">$B5/20</f>
        <v>1.5</v>
      </c>
    </row>
    <row r="6" customFormat="false" ht="12.8" hidden="false" customHeight="false" outlineLevel="0" collapsed="false">
      <c r="A6" s="0" t="s">
        <v>100</v>
      </c>
      <c r="B6" s="0" t="n">
        <v>36</v>
      </c>
      <c r="C6" s="0" t="n">
        <f aca="false">$B6/20</f>
        <v>1.8</v>
      </c>
    </row>
    <row r="7" customFormat="false" ht="12.8" hidden="false" customHeight="false" outlineLevel="0" collapsed="false">
      <c r="A7" s="0" t="s">
        <v>101</v>
      </c>
      <c r="B7" s="0" t="n">
        <v>400</v>
      </c>
      <c r="C7" s="0" t="n">
        <f aca="false">$B7/20</f>
        <v>20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E1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D3" activeCellId="0" sqref="AD3"/>
    </sheetView>
  </sheetViews>
  <sheetFormatPr defaultRowHeight="12.8" zeroHeight="false" outlineLevelRow="0" outlineLevelCol="0"/>
  <cols>
    <col collapsed="false" customWidth="true" hidden="false" outlineLevel="0" max="1" min="1" style="0" width="16.26"/>
    <col collapsed="false" customWidth="true" hidden="false" outlineLevel="0" max="31" min="2" style="0" width="4.99"/>
    <col collapsed="false" customWidth="false" hidden="false" outlineLevel="0" max="1025" min="32" style="0" width="11.52"/>
  </cols>
  <sheetData>
    <row r="1" customFormat="false" ht="12.8" hidden="false" customHeight="false" outlineLevel="0" collapsed="false">
      <c r="A1" s="16" t="s">
        <v>2</v>
      </c>
      <c r="B1" s="16" t="s">
        <v>102</v>
      </c>
      <c r="C1" s="16"/>
      <c r="D1" s="16"/>
      <c r="E1" s="16"/>
      <c r="F1" s="16"/>
      <c r="G1" s="16" t="s">
        <v>103</v>
      </c>
      <c r="H1" s="16"/>
      <c r="I1" s="16"/>
      <c r="J1" s="16"/>
      <c r="K1" s="16"/>
      <c r="L1" s="16" t="s">
        <v>104</v>
      </c>
      <c r="M1" s="16"/>
      <c r="N1" s="16"/>
      <c r="O1" s="16"/>
      <c r="P1" s="16"/>
      <c r="Q1" s="16" t="s">
        <v>105</v>
      </c>
      <c r="R1" s="16"/>
      <c r="S1" s="16"/>
      <c r="T1" s="16"/>
      <c r="U1" s="16"/>
      <c r="V1" s="16" t="s">
        <v>106</v>
      </c>
      <c r="W1" s="16"/>
      <c r="X1" s="16"/>
      <c r="Y1" s="16"/>
      <c r="AA1" s="16" t="s">
        <v>107</v>
      </c>
    </row>
    <row r="2" customFormat="false" ht="12.8" hidden="false" customHeight="false" outlineLevel="0" collapsed="false">
      <c r="A2" s="0" t="s">
        <v>66</v>
      </c>
      <c r="B2" s="17" t="n">
        <v>2</v>
      </c>
      <c r="C2" s="17" t="n">
        <v>8</v>
      </c>
      <c r="D2" s="18" t="n">
        <f aca="false">B2/9</f>
        <v>0.222222222222222</v>
      </c>
      <c r="E2" s="18" t="n">
        <f aca="false">C2/9</f>
        <v>0.888888888888889</v>
      </c>
      <c r="F2" s="19" t="n">
        <f aca="false">E2-D2</f>
        <v>0.666666666666667</v>
      </c>
      <c r="G2" s="17" t="n">
        <v>1</v>
      </c>
      <c r="H2" s="17" t="n">
        <v>9</v>
      </c>
      <c r="I2" s="18" t="n">
        <f aca="false">G2/9</f>
        <v>0.111111111111111</v>
      </c>
      <c r="J2" s="18" t="n">
        <f aca="false">H2/9</f>
        <v>1</v>
      </c>
      <c r="K2" s="19" t="n">
        <f aca="false">J2-I2</f>
        <v>0.888888888888889</v>
      </c>
      <c r="L2" s="17" t="n">
        <v>4</v>
      </c>
      <c r="M2" s="17" t="n">
        <v>8</v>
      </c>
      <c r="N2" s="18" t="n">
        <f aca="false">L2/12</f>
        <v>0.333333333333333</v>
      </c>
      <c r="O2" s="18" t="n">
        <f aca="false">M2/12</f>
        <v>0.666666666666667</v>
      </c>
      <c r="P2" s="19" t="n">
        <f aca="false">O2-N2</f>
        <v>0.333333333333333</v>
      </c>
      <c r="Q2" s="17" t="n">
        <v>1</v>
      </c>
      <c r="R2" s="17" t="n">
        <v>9</v>
      </c>
      <c r="S2" s="18" t="n">
        <f aca="false">Q2/11</f>
        <v>0.0909090909090909</v>
      </c>
      <c r="T2" s="18" t="n">
        <f aca="false">R2/11</f>
        <v>0.818181818181818</v>
      </c>
      <c r="U2" s="19" t="n">
        <f aca="false">T2-S2</f>
        <v>0.727272727272727</v>
      </c>
      <c r="V2" s="17" t="n">
        <v>0</v>
      </c>
      <c r="W2" s="17" t="n">
        <v>6</v>
      </c>
      <c r="X2" s="18" t="n">
        <f aca="false">V2/9</f>
        <v>0</v>
      </c>
      <c r="Y2" s="18" t="n">
        <f aca="false">W2/9</f>
        <v>0.666666666666667</v>
      </c>
      <c r="Z2" s="19" t="n">
        <f aca="false">Y2-X2</f>
        <v>0.666666666666667</v>
      </c>
      <c r="AA2" s="17" t="n">
        <v>3</v>
      </c>
      <c r="AB2" s="17" t="n">
        <v>6</v>
      </c>
      <c r="AC2" s="18" t="n">
        <f aca="false">AA2/9</f>
        <v>0.333333333333333</v>
      </c>
      <c r="AD2" s="18" t="n">
        <v>0.8</v>
      </c>
      <c r="AE2" s="19" t="n">
        <f aca="false">AD2-AC2</f>
        <v>0.466666666666667</v>
      </c>
    </row>
    <row r="3" customFormat="false" ht="12.8" hidden="false" customHeight="false" outlineLevel="0" collapsed="false">
      <c r="A3" s="0" t="s">
        <v>79</v>
      </c>
      <c r="B3" s="17" t="n">
        <v>4</v>
      </c>
      <c r="C3" s="17" t="n">
        <v>7</v>
      </c>
      <c r="D3" s="18" t="n">
        <f aca="false">B3/9</f>
        <v>0.444444444444444</v>
      </c>
      <c r="E3" s="18" t="n">
        <f aca="false">C3/9</f>
        <v>0.777777777777778</v>
      </c>
      <c r="F3" s="19" t="n">
        <f aca="false">E3-D3</f>
        <v>0.333333333333333</v>
      </c>
      <c r="G3" s="17" t="n">
        <v>0</v>
      </c>
      <c r="H3" s="17" t="n">
        <v>5</v>
      </c>
      <c r="I3" s="18" t="n">
        <f aca="false">G3/9</f>
        <v>0</v>
      </c>
      <c r="J3" s="18" t="n">
        <f aca="false">H3/9</f>
        <v>0.555555555555556</v>
      </c>
      <c r="K3" s="19" t="n">
        <f aca="false">J3-I3</f>
        <v>0.555555555555556</v>
      </c>
      <c r="L3" s="17" t="n">
        <v>5</v>
      </c>
      <c r="M3" s="17" t="n">
        <v>8</v>
      </c>
      <c r="N3" s="18" t="n">
        <f aca="false">L3/12</f>
        <v>0.416666666666667</v>
      </c>
      <c r="O3" s="18" t="n">
        <f aca="false">M3/12</f>
        <v>0.666666666666667</v>
      </c>
      <c r="P3" s="19" t="n">
        <f aca="false">O3-N3</f>
        <v>0.25</v>
      </c>
      <c r="Q3" s="17" t="n">
        <v>1</v>
      </c>
      <c r="R3" s="17" t="n">
        <v>7</v>
      </c>
      <c r="S3" s="18" t="n">
        <f aca="false">Q3/11</f>
        <v>0.0909090909090909</v>
      </c>
      <c r="T3" s="18" t="n">
        <f aca="false">R3/11</f>
        <v>0.636363636363636</v>
      </c>
      <c r="U3" s="19" t="n">
        <f aca="false">T3-S3</f>
        <v>0.545454545454545</v>
      </c>
      <c r="V3" s="17" t="n">
        <v>0</v>
      </c>
      <c r="W3" s="17" t="n">
        <v>3</v>
      </c>
      <c r="X3" s="18" t="n">
        <f aca="false">V3/9</f>
        <v>0</v>
      </c>
      <c r="Y3" s="18" t="n">
        <f aca="false">W3/9</f>
        <v>0.333333333333333</v>
      </c>
      <c r="Z3" s="19" t="n">
        <f aca="false">Y3-X3</f>
        <v>0.333333333333333</v>
      </c>
      <c r="AA3" s="17" t="n">
        <v>3</v>
      </c>
      <c r="AB3" s="17" t="n">
        <v>6</v>
      </c>
      <c r="AC3" s="18" t="n">
        <f aca="false">AA3/9</f>
        <v>0.333333333333333</v>
      </c>
      <c r="AD3" s="18" t="n">
        <f aca="false">AB3/9</f>
        <v>0.666666666666667</v>
      </c>
      <c r="AE3" s="19" t="n">
        <f aca="false">AD3-AC3</f>
        <v>0.333333333333333</v>
      </c>
    </row>
    <row r="4" customFormat="false" ht="12.8" hidden="false" customHeight="false" outlineLevel="0" collapsed="false">
      <c r="A4" s="0" t="s">
        <v>92</v>
      </c>
      <c r="B4" s="17" t="n">
        <v>5</v>
      </c>
      <c r="C4" s="17" t="n">
        <v>8</v>
      </c>
      <c r="D4" s="18" t="n">
        <f aca="false">B4/9</f>
        <v>0.555555555555556</v>
      </c>
      <c r="E4" s="18" t="n">
        <f aca="false">C4/9</f>
        <v>0.888888888888889</v>
      </c>
      <c r="F4" s="19" t="n">
        <f aca="false">E4-D4</f>
        <v>0.333333333333333</v>
      </c>
      <c r="G4" s="17" t="n">
        <v>2</v>
      </c>
      <c r="H4" s="17" t="n">
        <v>6</v>
      </c>
      <c r="I4" s="18" t="n">
        <f aca="false">G4/9</f>
        <v>0.222222222222222</v>
      </c>
      <c r="J4" s="18" t="n">
        <f aca="false">H4/9</f>
        <v>0.666666666666667</v>
      </c>
      <c r="K4" s="19" t="n">
        <f aca="false">J4-I4</f>
        <v>0.444444444444444</v>
      </c>
      <c r="L4" s="17" t="n">
        <v>5</v>
      </c>
      <c r="M4" s="17" t="n">
        <v>8</v>
      </c>
      <c r="N4" s="18" t="n">
        <f aca="false">L4/12</f>
        <v>0.416666666666667</v>
      </c>
      <c r="O4" s="18" t="n">
        <f aca="false">M4/12</f>
        <v>0.666666666666667</v>
      </c>
      <c r="P4" s="19" t="n">
        <f aca="false">O4-N4</f>
        <v>0.25</v>
      </c>
      <c r="Q4" s="17" t="n">
        <v>1</v>
      </c>
      <c r="R4" s="17" t="n">
        <v>7</v>
      </c>
      <c r="S4" s="18" t="n">
        <f aca="false">Q4/11</f>
        <v>0.0909090909090909</v>
      </c>
      <c r="T4" s="18" t="n">
        <f aca="false">R4/11</f>
        <v>0.636363636363636</v>
      </c>
      <c r="U4" s="19" t="n">
        <f aca="false">T4-S4</f>
        <v>0.545454545454545</v>
      </c>
      <c r="V4" s="17" t="n">
        <v>1</v>
      </c>
      <c r="W4" s="17" t="n">
        <v>5</v>
      </c>
      <c r="X4" s="18" t="n">
        <f aca="false">V4/9</f>
        <v>0.111111111111111</v>
      </c>
      <c r="Y4" s="18" t="n">
        <f aca="false">W4/9</f>
        <v>0.555555555555556</v>
      </c>
      <c r="Z4" s="19" t="n">
        <f aca="false">Y4-X4</f>
        <v>0.444444444444444</v>
      </c>
      <c r="AA4" s="17" t="n">
        <v>3</v>
      </c>
      <c r="AB4" s="17" t="n">
        <v>7</v>
      </c>
      <c r="AC4" s="18" t="n">
        <f aca="false">AA4/9</f>
        <v>0.333333333333333</v>
      </c>
      <c r="AD4" s="18" t="n">
        <f aca="false">AB4/9</f>
        <v>0.777777777777778</v>
      </c>
      <c r="AE4" s="19" t="n">
        <f aca="false">AD4-AC4</f>
        <v>0.444444444444444</v>
      </c>
    </row>
    <row r="5" customFormat="false" ht="12.8" hidden="false" customHeight="false" outlineLevel="0" collapsed="false">
      <c r="A5" s="0" t="s">
        <v>108</v>
      </c>
      <c r="B5" s="17" t="n">
        <v>7</v>
      </c>
      <c r="C5" s="17" t="n">
        <v>10</v>
      </c>
      <c r="D5" s="18" t="n">
        <f aca="false">B5/9</f>
        <v>0.777777777777778</v>
      </c>
      <c r="E5" s="18" t="n">
        <f aca="false">C5/9</f>
        <v>1.11111111111111</v>
      </c>
      <c r="F5" s="19" t="n">
        <f aca="false">E5-D5</f>
        <v>0.333333333333333</v>
      </c>
      <c r="G5" s="17" t="n">
        <v>5</v>
      </c>
      <c r="H5" s="17" t="n">
        <v>10</v>
      </c>
      <c r="I5" s="18" t="n">
        <f aca="false">G5/9</f>
        <v>0.555555555555556</v>
      </c>
      <c r="J5" s="18" t="n">
        <f aca="false">H5/9</f>
        <v>1.11111111111111</v>
      </c>
      <c r="K5" s="19" t="n">
        <f aca="false">J5-I5</f>
        <v>0.555555555555556</v>
      </c>
      <c r="L5" s="17" t="n">
        <v>7</v>
      </c>
      <c r="M5" s="17" t="n">
        <v>11</v>
      </c>
      <c r="N5" s="18" t="n">
        <f aca="false">L5/12</f>
        <v>0.583333333333333</v>
      </c>
      <c r="O5" s="18" t="n">
        <f aca="false">M5/12</f>
        <v>0.916666666666667</v>
      </c>
      <c r="P5" s="19" t="n">
        <f aca="false">O5-N5</f>
        <v>0.333333333333333</v>
      </c>
      <c r="Q5" s="17" t="n">
        <v>6</v>
      </c>
      <c r="R5" s="17" t="n">
        <v>15</v>
      </c>
      <c r="S5" s="18" t="n">
        <f aca="false">Q5/11</f>
        <v>0.545454545454545</v>
      </c>
      <c r="T5" s="18" t="n">
        <f aca="false">R5/11</f>
        <v>1.36363636363636</v>
      </c>
      <c r="U5" s="19" t="n">
        <f aca="false">T5-S5</f>
        <v>0.818181818181818</v>
      </c>
      <c r="V5" s="17" t="n">
        <v>5</v>
      </c>
      <c r="W5" s="17" t="n">
        <v>10</v>
      </c>
      <c r="X5" s="18" t="n">
        <f aca="false">V5/9</f>
        <v>0.555555555555556</v>
      </c>
      <c r="Y5" s="18" t="n">
        <f aca="false">W5/9</f>
        <v>1.11111111111111</v>
      </c>
      <c r="Z5" s="19" t="n">
        <f aca="false">Y5-X5</f>
        <v>0.555555555555556</v>
      </c>
      <c r="AA5" s="17" t="n">
        <v>3</v>
      </c>
      <c r="AB5" s="17" t="n">
        <v>8</v>
      </c>
      <c r="AC5" s="18" t="n">
        <f aca="false">AA5/9</f>
        <v>0.333333333333333</v>
      </c>
      <c r="AD5" s="18" t="n">
        <f aca="false">AB5/9</f>
        <v>0.888888888888889</v>
      </c>
      <c r="AE5" s="19" t="n">
        <f aca="false">AD5-AC5</f>
        <v>0.555555555555556</v>
      </c>
    </row>
    <row r="6" customFormat="false" ht="12.8" hidden="false" customHeight="false" outlineLevel="0" collapsed="false">
      <c r="A6" s="0" t="s">
        <v>109</v>
      </c>
      <c r="B6" s="17" t="n">
        <v>1</v>
      </c>
      <c r="C6" s="17" t="n">
        <v>5</v>
      </c>
      <c r="D6" s="18" t="n">
        <f aca="false">B6/9</f>
        <v>0.111111111111111</v>
      </c>
      <c r="E6" s="18" t="n">
        <f aca="false">C6/9</f>
        <v>0.555555555555556</v>
      </c>
      <c r="F6" s="19" t="n">
        <f aca="false">E6-D6</f>
        <v>0.444444444444444</v>
      </c>
      <c r="G6" s="17" t="n">
        <v>0</v>
      </c>
      <c r="H6" s="17" t="n">
        <v>5</v>
      </c>
      <c r="I6" s="18" t="n">
        <f aca="false">G6/9</f>
        <v>0</v>
      </c>
      <c r="J6" s="18" t="n">
        <f aca="false">H6/9</f>
        <v>0.555555555555556</v>
      </c>
      <c r="K6" s="19" t="n">
        <f aca="false">J6-I6</f>
        <v>0.555555555555556</v>
      </c>
      <c r="L6" s="17" t="n">
        <v>4</v>
      </c>
      <c r="M6" s="17" t="n">
        <v>7</v>
      </c>
      <c r="N6" s="18" t="n">
        <f aca="false">L6/12</f>
        <v>0.333333333333333</v>
      </c>
      <c r="O6" s="18" t="n">
        <f aca="false">M6/12</f>
        <v>0.583333333333333</v>
      </c>
      <c r="P6" s="19" t="n">
        <f aca="false">O6-N6</f>
        <v>0.25</v>
      </c>
      <c r="Q6" s="17" t="n">
        <v>0</v>
      </c>
      <c r="R6" s="17" t="n">
        <v>7</v>
      </c>
      <c r="S6" s="18" t="n">
        <f aca="false">Q6/11</f>
        <v>0</v>
      </c>
      <c r="T6" s="18" t="n">
        <f aca="false">R6/11</f>
        <v>0.636363636363636</v>
      </c>
      <c r="U6" s="19" t="n">
        <f aca="false">T6-S6</f>
        <v>0.636363636363636</v>
      </c>
      <c r="V6" s="17" t="n">
        <v>0</v>
      </c>
      <c r="W6" s="17" t="n">
        <v>5</v>
      </c>
      <c r="X6" s="18" t="n">
        <f aca="false">V6/9</f>
        <v>0</v>
      </c>
      <c r="Y6" s="18" t="n">
        <f aca="false">W6/9</f>
        <v>0.555555555555556</v>
      </c>
      <c r="Z6" s="19" t="n">
        <f aca="false">Y6-X6</f>
        <v>0.555555555555556</v>
      </c>
      <c r="AA6" s="17" t="n">
        <v>3</v>
      </c>
      <c r="AB6" s="17" t="n">
        <v>8</v>
      </c>
      <c r="AC6" s="18" t="n">
        <f aca="false">AA6/9</f>
        <v>0.333333333333333</v>
      </c>
      <c r="AD6" s="18" t="n">
        <f aca="false">AB6/9</f>
        <v>0.888888888888889</v>
      </c>
      <c r="AE6" s="19" t="n">
        <f aca="false">AD6-AC6</f>
        <v>0.555555555555556</v>
      </c>
    </row>
    <row r="7" customFormat="false" ht="12.8" hidden="false" customHeight="false" outlineLevel="0" collapsed="false">
      <c r="A7" s="0" t="s">
        <v>110</v>
      </c>
      <c r="B7" s="17" t="n">
        <v>5</v>
      </c>
      <c r="C7" s="17" t="n">
        <v>8</v>
      </c>
      <c r="D7" s="18" t="n">
        <f aca="false">B7/9</f>
        <v>0.555555555555556</v>
      </c>
      <c r="E7" s="18" t="n">
        <f aca="false">C7/9</f>
        <v>0.888888888888889</v>
      </c>
      <c r="F7" s="19" t="n">
        <f aca="false">E7-D7</f>
        <v>0.333333333333333</v>
      </c>
      <c r="G7" s="17" t="n">
        <v>2</v>
      </c>
      <c r="H7" s="17" t="n">
        <v>10</v>
      </c>
      <c r="I7" s="18" t="n">
        <f aca="false">G7/9</f>
        <v>0.222222222222222</v>
      </c>
      <c r="J7" s="18" t="n">
        <f aca="false">H7/9</f>
        <v>1.11111111111111</v>
      </c>
      <c r="K7" s="19" t="n">
        <f aca="false">J7-I7</f>
        <v>0.888888888888889</v>
      </c>
      <c r="L7" s="17" t="n">
        <v>5</v>
      </c>
      <c r="M7" s="17" t="n">
        <v>8</v>
      </c>
      <c r="N7" s="18" t="n">
        <f aca="false">L7/12</f>
        <v>0.416666666666667</v>
      </c>
      <c r="O7" s="18" t="n">
        <f aca="false">M7/12</f>
        <v>0.666666666666667</v>
      </c>
      <c r="P7" s="19" t="n">
        <f aca="false">O7-N7</f>
        <v>0.25</v>
      </c>
      <c r="Q7" s="17" t="n">
        <v>5</v>
      </c>
      <c r="R7" s="17" t="n">
        <v>10</v>
      </c>
      <c r="S7" s="18" t="n">
        <f aca="false">Q7/11</f>
        <v>0.454545454545455</v>
      </c>
      <c r="T7" s="18" t="n">
        <f aca="false">R7/11</f>
        <v>0.909090909090909</v>
      </c>
      <c r="U7" s="19" t="n">
        <f aca="false">T7-S7</f>
        <v>0.454545454545455</v>
      </c>
      <c r="V7" s="17" t="n">
        <v>1</v>
      </c>
      <c r="W7" s="17" t="n">
        <v>10</v>
      </c>
      <c r="X7" s="18" t="n">
        <f aca="false">V7/9</f>
        <v>0.111111111111111</v>
      </c>
      <c r="Y7" s="18" t="n">
        <f aca="false">W7/9</f>
        <v>1.11111111111111</v>
      </c>
      <c r="Z7" s="19" t="n">
        <f aca="false">Y7-X7</f>
        <v>1</v>
      </c>
      <c r="AA7" s="17" t="n">
        <v>3</v>
      </c>
      <c r="AB7" s="17" t="n">
        <v>10</v>
      </c>
      <c r="AC7" s="18" t="n">
        <f aca="false">AA7/9</f>
        <v>0.333333333333333</v>
      </c>
      <c r="AD7" s="18" t="n">
        <f aca="false">AB7/9</f>
        <v>1.11111111111111</v>
      </c>
      <c r="AE7" s="19" t="n">
        <f aca="false">AD7-AC7</f>
        <v>0.777777777777778</v>
      </c>
    </row>
    <row r="8" customFormat="false" ht="12.8" hidden="false" customHeight="false" outlineLevel="0" collapsed="false">
      <c r="A8" s="0" t="s">
        <v>68</v>
      </c>
      <c r="B8" s="17" t="n">
        <v>5</v>
      </c>
      <c r="C8" s="17" t="n">
        <v>8</v>
      </c>
      <c r="D8" s="18" t="n">
        <f aca="false">B8/9</f>
        <v>0.555555555555556</v>
      </c>
      <c r="E8" s="18" t="n">
        <f aca="false">C8/9</f>
        <v>0.888888888888889</v>
      </c>
      <c r="F8" s="19" t="n">
        <f aca="false">E8-D8</f>
        <v>0.333333333333333</v>
      </c>
      <c r="G8" s="17" t="n">
        <v>2</v>
      </c>
      <c r="H8" s="17" t="n">
        <v>9</v>
      </c>
      <c r="I8" s="18" t="n">
        <f aca="false">G8/9</f>
        <v>0.222222222222222</v>
      </c>
      <c r="J8" s="18" t="n">
        <f aca="false">H8/9</f>
        <v>1</v>
      </c>
      <c r="K8" s="19" t="n">
        <f aca="false">J8-I8</f>
        <v>0.777777777777778</v>
      </c>
      <c r="L8" s="17" t="n">
        <v>4</v>
      </c>
      <c r="M8" s="17" t="n">
        <v>10</v>
      </c>
      <c r="N8" s="18" t="n">
        <f aca="false">L8/12</f>
        <v>0.333333333333333</v>
      </c>
      <c r="O8" s="18" t="n">
        <f aca="false">M8/12</f>
        <v>0.833333333333333</v>
      </c>
      <c r="P8" s="19" t="n">
        <f aca="false">O8-N8</f>
        <v>0.5</v>
      </c>
      <c r="Q8" s="17" t="n">
        <v>2</v>
      </c>
      <c r="R8" s="17" t="n">
        <v>10</v>
      </c>
      <c r="S8" s="18" t="n">
        <f aca="false">Q8/11</f>
        <v>0.181818181818182</v>
      </c>
      <c r="T8" s="18" t="n">
        <f aca="false">R8/11</f>
        <v>0.909090909090909</v>
      </c>
      <c r="U8" s="19" t="n">
        <f aca="false">T8-S8</f>
        <v>0.727272727272727</v>
      </c>
      <c r="V8" s="17" t="n">
        <v>2</v>
      </c>
      <c r="W8" s="17" t="n">
        <v>8</v>
      </c>
      <c r="X8" s="18" t="n">
        <f aca="false">V8/9</f>
        <v>0.222222222222222</v>
      </c>
      <c r="Y8" s="18" t="n">
        <f aca="false">W8/9</f>
        <v>0.888888888888889</v>
      </c>
      <c r="Z8" s="19" t="n">
        <f aca="false">Y8-X8</f>
        <v>0.666666666666667</v>
      </c>
      <c r="AA8" s="17" t="n">
        <v>3</v>
      </c>
      <c r="AB8" s="17" t="n">
        <v>7</v>
      </c>
      <c r="AC8" s="18" t="n">
        <f aca="false">AA8/9</f>
        <v>0.333333333333333</v>
      </c>
      <c r="AD8" s="18" t="n">
        <f aca="false">AB8/9</f>
        <v>0.777777777777778</v>
      </c>
      <c r="AE8" s="19" t="n">
        <f aca="false">AD8-AC8</f>
        <v>0.444444444444444</v>
      </c>
    </row>
    <row r="9" customFormat="false" ht="12.8" hidden="false" customHeight="false" outlineLevel="0" collapsed="false">
      <c r="A9" s="0" t="s">
        <v>111</v>
      </c>
      <c r="B9" s="17" t="n">
        <v>6</v>
      </c>
      <c r="C9" s="17" t="n">
        <v>7</v>
      </c>
      <c r="D9" s="18" t="n">
        <f aca="false">B9/9</f>
        <v>0.666666666666667</v>
      </c>
      <c r="E9" s="18" t="n">
        <f aca="false">C9/9</f>
        <v>0.777777777777778</v>
      </c>
      <c r="F9" s="19" t="n">
        <f aca="false">E9-D9</f>
        <v>0.111111111111111</v>
      </c>
      <c r="G9" s="17" t="n">
        <v>5</v>
      </c>
      <c r="H9" s="17" t="n">
        <v>7</v>
      </c>
      <c r="I9" s="18" t="n">
        <f aca="false">G9/9</f>
        <v>0.555555555555556</v>
      </c>
      <c r="J9" s="18" t="n">
        <f aca="false">H9/9</f>
        <v>0.777777777777778</v>
      </c>
      <c r="K9" s="19" t="n">
        <f aca="false">J9-I9</f>
        <v>0.222222222222222</v>
      </c>
      <c r="L9" s="17" t="n">
        <v>6</v>
      </c>
      <c r="M9" s="17" t="n">
        <v>8</v>
      </c>
      <c r="N9" s="18" t="n">
        <f aca="false">L9/12</f>
        <v>0.5</v>
      </c>
      <c r="O9" s="18" t="n">
        <f aca="false">M9/12</f>
        <v>0.666666666666667</v>
      </c>
      <c r="P9" s="19" t="n">
        <f aca="false">O9-N9</f>
        <v>0.166666666666667</v>
      </c>
      <c r="Q9" s="17" t="n">
        <v>5</v>
      </c>
      <c r="R9" s="17" t="n">
        <v>9</v>
      </c>
      <c r="S9" s="18" t="n">
        <f aca="false">Q9/11</f>
        <v>0.454545454545455</v>
      </c>
      <c r="T9" s="18" t="n">
        <f aca="false">R9/11</f>
        <v>0.818181818181818</v>
      </c>
      <c r="U9" s="19" t="n">
        <f aca="false">T9-S9</f>
        <v>0.363636363636364</v>
      </c>
      <c r="V9" s="17" t="n">
        <v>5</v>
      </c>
      <c r="W9" s="17" t="n">
        <v>8</v>
      </c>
      <c r="X9" s="18" t="n">
        <f aca="false">V9/9</f>
        <v>0.555555555555556</v>
      </c>
      <c r="Y9" s="18" t="n">
        <f aca="false">W9/9</f>
        <v>0.888888888888889</v>
      </c>
      <c r="Z9" s="19" t="n">
        <f aca="false">Y9-X9</f>
        <v>0.333333333333333</v>
      </c>
      <c r="AA9" s="17" t="n">
        <v>3</v>
      </c>
      <c r="AB9" s="17" t="n">
        <v>6</v>
      </c>
      <c r="AC9" s="18" t="n">
        <f aca="false">AA9/9</f>
        <v>0.333333333333333</v>
      </c>
      <c r="AD9" s="18" t="n">
        <f aca="false">AB9/9</f>
        <v>0.666666666666667</v>
      </c>
      <c r="AE9" s="19" t="n">
        <f aca="false">AD9-AC9</f>
        <v>0.333333333333333</v>
      </c>
    </row>
    <row r="10" customFormat="false" ht="12.8" hidden="false" customHeight="false" outlineLevel="0" collapsed="false">
      <c r="A10" s="0" t="s">
        <v>75</v>
      </c>
      <c r="B10" s="17" t="n">
        <v>4</v>
      </c>
      <c r="C10" s="17" t="n">
        <v>8</v>
      </c>
      <c r="D10" s="18" t="n">
        <f aca="false">B10/9</f>
        <v>0.444444444444444</v>
      </c>
      <c r="E10" s="18" t="n">
        <f aca="false">C10/9</f>
        <v>0.888888888888889</v>
      </c>
      <c r="F10" s="19" t="n">
        <f aca="false">E10-D10</f>
        <v>0.444444444444444</v>
      </c>
      <c r="G10" s="17" t="n">
        <v>1</v>
      </c>
      <c r="H10" s="17" t="n">
        <v>9</v>
      </c>
      <c r="I10" s="18" t="n">
        <f aca="false">G10/9</f>
        <v>0.111111111111111</v>
      </c>
      <c r="J10" s="18" t="n">
        <f aca="false">H10/9</f>
        <v>1</v>
      </c>
      <c r="K10" s="19" t="n">
        <f aca="false">J10-I10</f>
        <v>0.888888888888889</v>
      </c>
      <c r="L10" s="17" t="n">
        <v>4</v>
      </c>
      <c r="M10" s="17" t="n">
        <v>10</v>
      </c>
      <c r="N10" s="18" t="n">
        <f aca="false">L10/12</f>
        <v>0.333333333333333</v>
      </c>
      <c r="O10" s="18" t="n">
        <f aca="false">M10/12</f>
        <v>0.833333333333333</v>
      </c>
      <c r="P10" s="19" t="n">
        <f aca="false">O10-N10</f>
        <v>0.5</v>
      </c>
      <c r="Q10" s="17" t="n">
        <v>1</v>
      </c>
      <c r="R10" s="17" t="n">
        <v>10</v>
      </c>
      <c r="S10" s="18" t="n">
        <f aca="false">Q10/11</f>
        <v>0.0909090909090909</v>
      </c>
      <c r="T10" s="18" t="n">
        <f aca="false">R10/11</f>
        <v>0.909090909090909</v>
      </c>
      <c r="U10" s="19" t="n">
        <f aca="false">T10-S10</f>
        <v>0.818181818181818</v>
      </c>
      <c r="V10" s="17" t="n">
        <v>1</v>
      </c>
      <c r="W10" s="17" t="n">
        <v>10</v>
      </c>
      <c r="X10" s="18" t="n">
        <f aca="false">V10/9</f>
        <v>0.111111111111111</v>
      </c>
      <c r="Y10" s="18" t="n">
        <f aca="false">W10/9</f>
        <v>1.11111111111111</v>
      </c>
      <c r="Z10" s="19" t="n">
        <f aca="false">Y10-X10</f>
        <v>1</v>
      </c>
      <c r="AA10" s="17" t="n">
        <v>3</v>
      </c>
      <c r="AB10" s="17" t="n">
        <v>8</v>
      </c>
      <c r="AC10" s="18" t="n">
        <f aca="false">AA10/9</f>
        <v>0.333333333333333</v>
      </c>
      <c r="AD10" s="18" t="n">
        <f aca="false">AB10/9</f>
        <v>0.888888888888889</v>
      </c>
      <c r="AE10" s="19" t="n">
        <f aca="false">AD10-AC10</f>
        <v>0.555555555555556</v>
      </c>
    </row>
    <row r="11" customFormat="false" ht="12.8" hidden="false" customHeight="false" outlineLevel="0" collapsed="false">
      <c r="A11" s="0" t="s">
        <v>112</v>
      </c>
      <c r="B11" s="17" t="n">
        <v>4</v>
      </c>
      <c r="C11" s="17" t="n">
        <v>9</v>
      </c>
      <c r="D11" s="18" t="n">
        <f aca="false">B11/9</f>
        <v>0.444444444444444</v>
      </c>
      <c r="E11" s="18" t="n">
        <f aca="false">C11/9</f>
        <v>1</v>
      </c>
      <c r="F11" s="19" t="n">
        <f aca="false">E11-D11</f>
        <v>0.555555555555556</v>
      </c>
      <c r="G11" s="17" t="n">
        <v>2</v>
      </c>
      <c r="H11" s="17" t="n">
        <v>8</v>
      </c>
      <c r="I11" s="18" t="n">
        <f aca="false">G11/9</f>
        <v>0.222222222222222</v>
      </c>
      <c r="J11" s="18" t="n">
        <f aca="false">H11/9</f>
        <v>0.888888888888889</v>
      </c>
      <c r="K11" s="19" t="n">
        <f aca="false">J11-I11</f>
        <v>0.666666666666667</v>
      </c>
      <c r="L11" s="17" t="n">
        <v>4</v>
      </c>
      <c r="M11" s="17" t="n">
        <v>7</v>
      </c>
      <c r="N11" s="18" t="n">
        <f aca="false">L11/12</f>
        <v>0.333333333333333</v>
      </c>
      <c r="O11" s="18" t="n">
        <f aca="false">M11/12</f>
        <v>0.583333333333333</v>
      </c>
      <c r="P11" s="19" t="n">
        <f aca="false">O11-N11</f>
        <v>0.25</v>
      </c>
      <c r="Q11" s="17" t="n">
        <v>3</v>
      </c>
      <c r="R11" s="17" t="n">
        <v>9</v>
      </c>
      <c r="S11" s="18" t="n">
        <f aca="false">Q11/11</f>
        <v>0.272727272727273</v>
      </c>
      <c r="T11" s="18" t="n">
        <f aca="false">R11/11</f>
        <v>0.818181818181818</v>
      </c>
      <c r="U11" s="19" t="n">
        <f aca="false">T11-S11</f>
        <v>0.545454545454546</v>
      </c>
      <c r="V11" s="17" t="n">
        <v>0</v>
      </c>
      <c r="W11" s="17" t="n">
        <v>9</v>
      </c>
      <c r="X11" s="18" t="n">
        <f aca="false">V11/9</f>
        <v>0</v>
      </c>
      <c r="Y11" s="18" t="n">
        <f aca="false">W11/9</f>
        <v>1</v>
      </c>
      <c r="Z11" s="19" t="n">
        <f aca="false">Y11-X11</f>
        <v>1</v>
      </c>
      <c r="AA11" s="17" t="n">
        <v>3</v>
      </c>
      <c r="AB11" s="17" t="n">
        <v>10</v>
      </c>
      <c r="AC11" s="18" t="n">
        <f aca="false">AA11/9</f>
        <v>0.333333333333333</v>
      </c>
      <c r="AD11" s="18" t="n">
        <f aca="false">AB11/9</f>
        <v>1.11111111111111</v>
      </c>
      <c r="AE11" s="19" t="n">
        <f aca="false">AD11-AC11</f>
        <v>0.777777777777778</v>
      </c>
    </row>
    <row r="12" customFormat="false" ht="12.8" hidden="false" customHeight="false" outlineLevel="0" collapsed="false">
      <c r="A12" s="0" t="s">
        <v>76</v>
      </c>
      <c r="B12" s="17" t="n">
        <v>4</v>
      </c>
      <c r="C12" s="17" t="n">
        <v>8</v>
      </c>
      <c r="D12" s="18" t="n">
        <f aca="false">B12/9</f>
        <v>0.444444444444444</v>
      </c>
      <c r="E12" s="18" t="n">
        <f aca="false">C12/9</f>
        <v>0.888888888888889</v>
      </c>
      <c r="F12" s="19" t="n">
        <f aca="false">E12-D12</f>
        <v>0.444444444444444</v>
      </c>
      <c r="G12" s="17" t="n">
        <v>4</v>
      </c>
      <c r="H12" s="17" t="n">
        <v>10</v>
      </c>
      <c r="I12" s="18" t="n">
        <f aca="false">G12/9</f>
        <v>0.444444444444444</v>
      </c>
      <c r="J12" s="18" t="n">
        <f aca="false">H12/9</f>
        <v>1.11111111111111</v>
      </c>
      <c r="K12" s="19" t="n">
        <f aca="false">J12-I12</f>
        <v>0.666666666666667</v>
      </c>
      <c r="L12" s="17" t="n">
        <v>4</v>
      </c>
      <c r="M12" s="17" t="n">
        <v>7</v>
      </c>
      <c r="N12" s="18" t="n">
        <f aca="false">L12/12</f>
        <v>0.333333333333333</v>
      </c>
      <c r="O12" s="18" t="n">
        <f aca="false">M12/12</f>
        <v>0.583333333333333</v>
      </c>
      <c r="P12" s="19" t="n">
        <f aca="false">O12-N12</f>
        <v>0.25</v>
      </c>
      <c r="Q12" s="17" t="n">
        <v>4</v>
      </c>
      <c r="R12" s="17" t="n">
        <v>7</v>
      </c>
      <c r="S12" s="18" t="n">
        <f aca="false">Q12/11</f>
        <v>0.363636363636364</v>
      </c>
      <c r="T12" s="18" t="n">
        <f aca="false">R12/11</f>
        <v>0.636363636363636</v>
      </c>
      <c r="U12" s="19" t="n">
        <f aca="false">T12-S12</f>
        <v>0.272727272727273</v>
      </c>
      <c r="V12" s="17" t="n">
        <v>0</v>
      </c>
      <c r="W12" s="17" t="n">
        <v>10</v>
      </c>
      <c r="X12" s="18" t="n">
        <f aca="false">V12/9</f>
        <v>0</v>
      </c>
      <c r="Y12" s="18" t="n">
        <f aca="false">W12/9</f>
        <v>1.11111111111111</v>
      </c>
      <c r="Z12" s="19" t="n">
        <f aca="false">Y12-X12</f>
        <v>1.11111111111111</v>
      </c>
      <c r="AA12" s="17" t="n">
        <v>3</v>
      </c>
      <c r="AB12" s="17" t="n">
        <v>6</v>
      </c>
      <c r="AC12" s="18" t="n">
        <f aca="false">AA12/9</f>
        <v>0.333333333333333</v>
      </c>
      <c r="AD12" s="18" t="n">
        <v>0.75</v>
      </c>
      <c r="AE12" s="19" t="n">
        <f aca="false">AD12-AC12</f>
        <v>0.416666666666667</v>
      </c>
    </row>
    <row r="13" customFormat="false" ht="12.8" hidden="false" customHeight="false" outlineLevel="0" collapsed="false">
      <c r="A13" s="0" t="s">
        <v>113</v>
      </c>
      <c r="B13" s="17" t="n">
        <v>4</v>
      </c>
      <c r="C13" s="17" t="n">
        <v>7</v>
      </c>
      <c r="D13" s="18" t="n">
        <f aca="false">B13/9</f>
        <v>0.444444444444444</v>
      </c>
      <c r="E13" s="18" t="n">
        <f aca="false">C13/9</f>
        <v>0.777777777777778</v>
      </c>
      <c r="F13" s="19" t="n">
        <f aca="false">E13-D13</f>
        <v>0.333333333333333</v>
      </c>
      <c r="G13" s="17" t="n">
        <v>0</v>
      </c>
      <c r="H13" s="17" t="n">
        <v>5</v>
      </c>
      <c r="I13" s="18" t="n">
        <f aca="false">G13/9</f>
        <v>0</v>
      </c>
      <c r="J13" s="18" t="n">
        <f aca="false">H13/9</f>
        <v>0.555555555555556</v>
      </c>
      <c r="K13" s="19" t="n">
        <f aca="false">J13-I13</f>
        <v>0.555555555555556</v>
      </c>
      <c r="L13" s="17" t="n">
        <v>5</v>
      </c>
      <c r="M13" s="17" t="n">
        <v>8</v>
      </c>
      <c r="N13" s="18" t="n">
        <f aca="false">L13/12</f>
        <v>0.416666666666667</v>
      </c>
      <c r="O13" s="18" t="n">
        <f aca="false">M13/12</f>
        <v>0.666666666666667</v>
      </c>
      <c r="P13" s="19" t="n">
        <f aca="false">O13-N13</f>
        <v>0.25</v>
      </c>
      <c r="Q13" s="17" t="n">
        <v>1</v>
      </c>
      <c r="R13" s="17" t="n">
        <v>7</v>
      </c>
      <c r="S13" s="18" t="n">
        <f aca="false">Q13/11</f>
        <v>0.0909090909090909</v>
      </c>
      <c r="T13" s="18" t="n">
        <f aca="false">R13/11</f>
        <v>0.636363636363636</v>
      </c>
      <c r="U13" s="19" t="n">
        <f aca="false">T13-S13</f>
        <v>0.545454545454545</v>
      </c>
      <c r="V13" s="17" t="n">
        <v>0</v>
      </c>
      <c r="W13" s="17" t="n">
        <v>3</v>
      </c>
      <c r="X13" s="18" t="n">
        <f aca="false">V13/9</f>
        <v>0</v>
      </c>
      <c r="Y13" s="18" t="n">
        <f aca="false">W13/9</f>
        <v>0.333333333333333</v>
      </c>
      <c r="Z13" s="19" t="n">
        <f aca="false">Y13-X13</f>
        <v>0.333333333333333</v>
      </c>
      <c r="AA13" s="17" t="n">
        <v>3</v>
      </c>
      <c r="AB13" s="17" t="n">
        <v>6</v>
      </c>
      <c r="AC13" s="18" t="n">
        <f aca="false">AA13/9</f>
        <v>0.333333333333333</v>
      </c>
      <c r="AD13" s="18" t="n">
        <f aca="false">AB13/9</f>
        <v>0.666666666666667</v>
      </c>
      <c r="AE13" s="19" t="n">
        <f aca="false">AD13-AC13</f>
        <v>0.333333333333333</v>
      </c>
    </row>
    <row r="14" customFormat="false" ht="12.8" hidden="false" customHeight="false" outlineLevel="0" collapsed="false">
      <c r="A14" s="0" t="s">
        <v>93</v>
      </c>
      <c r="B14" s="17" t="n">
        <v>4</v>
      </c>
      <c r="C14" s="17" t="n">
        <v>7</v>
      </c>
      <c r="D14" s="18" t="n">
        <f aca="false">B14/9</f>
        <v>0.444444444444444</v>
      </c>
      <c r="E14" s="18" t="n">
        <f aca="false">C14/9</f>
        <v>0.777777777777778</v>
      </c>
      <c r="F14" s="19" t="n">
        <f aca="false">E14-D14</f>
        <v>0.333333333333333</v>
      </c>
      <c r="G14" s="17" t="n">
        <v>2</v>
      </c>
      <c r="H14" s="17" t="n">
        <v>6</v>
      </c>
      <c r="I14" s="18" t="n">
        <f aca="false">G14/9</f>
        <v>0.222222222222222</v>
      </c>
      <c r="J14" s="18" t="n">
        <f aca="false">H14/9</f>
        <v>0.666666666666667</v>
      </c>
      <c r="K14" s="19" t="n">
        <f aca="false">J14-I14</f>
        <v>0.444444444444444</v>
      </c>
      <c r="L14" s="17" t="n">
        <v>4</v>
      </c>
      <c r="M14" s="17" t="n">
        <v>9</v>
      </c>
      <c r="N14" s="18" t="n">
        <f aca="false">L14/12</f>
        <v>0.333333333333333</v>
      </c>
      <c r="O14" s="18" t="n">
        <f aca="false">M14/12</f>
        <v>0.75</v>
      </c>
      <c r="P14" s="19" t="n">
        <f aca="false">O14-N14</f>
        <v>0.416666666666667</v>
      </c>
      <c r="Q14" s="17" t="n">
        <v>2</v>
      </c>
      <c r="R14" s="17" t="n">
        <v>7</v>
      </c>
      <c r="S14" s="18" t="n">
        <f aca="false">Q14/11</f>
        <v>0.181818181818182</v>
      </c>
      <c r="T14" s="18" t="n">
        <f aca="false">R14/11</f>
        <v>0.636363636363636</v>
      </c>
      <c r="U14" s="19" t="n">
        <f aca="false">T14-S14</f>
        <v>0.454545454545455</v>
      </c>
      <c r="V14" s="17" t="n">
        <v>0</v>
      </c>
      <c r="W14" s="17" t="n">
        <v>10</v>
      </c>
      <c r="X14" s="18" t="n">
        <f aca="false">V14/9</f>
        <v>0</v>
      </c>
      <c r="Y14" s="18" t="n">
        <f aca="false">W14/9</f>
        <v>1.11111111111111</v>
      </c>
      <c r="Z14" s="19" t="n">
        <f aca="false">Y14-X14</f>
        <v>1.11111111111111</v>
      </c>
      <c r="AA14" s="17" t="n">
        <v>3</v>
      </c>
      <c r="AB14" s="17" t="n">
        <v>6</v>
      </c>
      <c r="AC14" s="18" t="n">
        <f aca="false">AA14/9</f>
        <v>0.333333333333333</v>
      </c>
      <c r="AD14" s="18" t="n">
        <f aca="false">AB14/9</f>
        <v>0.666666666666667</v>
      </c>
      <c r="AE14" s="19" t="n">
        <f aca="false">AD14-AC14</f>
        <v>0.333333333333333</v>
      </c>
    </row>
    <row r="15" customFormat="false" ht="12.8" hidden="false" customHeight="false" outlineLevel="0" collapsed="false">
      <c r="A15" s="0" t="s">
        <v>114</v>
      </c>
      <c r="B15" s="17" t="n">
        <v>3</v>
      </c>
      <c r="C15" s="17" t="n">
        <v>3</v>
      </c>
      <c r="D15" s="18" t="n">
        <f aca="false">B15/9</f>
        <v>0.333333333333333</v>
      </c>
      <c r="E15" s="18" t="n">
        <f aca="false">C15/9</f>
        <v>0.333333333333333</v>
      </c>
      <c r="F15" s="19" t="n">
        <f aca="false">E15-D15</f>
        <v>0</v>
      </c>
      <c r="G15" s="17" t="n">
        <v>0</v>
      </c>
      <c r="H15" s="17" t="n">
        <v>1</v>
      </c>
      <c r="I15" s="18" t="n">
        <f aca="false">G15/9</f>
        <v>0</v>
      </c>
      <c r="J15" s="18" t="n">
        <f aca="false">H15/9</f>
        <v>0.111111111111111</v>
      </c>
      <c r="K15" s="19" t="n">
        <f aca="false">J15-I15</f>
        <v>0.111111111111111</v>
      </c>
      <c r="L15" s="17" t="n">
        <v>1</v>
      </c>
      <c r="M15" s="17" t="n">
        <v>3</v>
      </c>
      <c r="N15" s="18" t="n">
        <f aca="false">L15/12</f>
        <v>0.0833333333333333</v>
      </c>
      <c r="O15" s="18" t="n">
        <f aca="false">M15/12</f>
        <v>0.25</v>
      </c>
      <c r="P15" s="19" t="n">
        <f aca="false">O15-N15</f>
        <v>0.166666666666667</v>
      </c>
      <c r="Q15" s="17" t="n">
        <v>0</v>
      </c>
      <c r="R15" s="17" t="n">
        <v>2</v>
      </c>
      <c r="S15" s="18" t="n">
        <f aca="false">Q15/11</f>
        <v>0</v>
      </c>
      <c r="T15" s="18" t="n">
        <f aca="false">R15/11</f>
        <v>0.181818181818182</v>
      </c>
      <c r="U15" s="19" t="n">
        <f aca="false">T15-S15</f>
        <v>0.181818181818182</v>
      </c>
      <c r="V15" s="17" t="n">
        <v>0</v>
      </c>
      <c r="W15" s="17" t="n">
        <v>0</v>
      </c>
      <c r="X15" s="18" t="n">
        <f aca="false">V15/9</f>
        <v>0</v>
      </c>
      <c r="Y15" s="18" t="n">
        <f aca="false">W15/9</f>
        <v>0</v>
      </c>
      <c r="Z15" s="19" t="n">
        <f aca="false">Y15-X15</f>
        <v>0</v>
      </c>
      <c r="AA15" s="17" t="n">
        <v>3</v>
      </c>
      <c r="AB15" s="17" t="n">
        <v>8</v>
      </c>
      <c r="AC15" s="18" t="n">
        <f aca="false">AA15/9</f>
        <v>0.333333333333333</v>
      </c>
      <c r="AD15" s="18" t="n">
        <f aca="false">AB15/9</f>
        <v>0.888888888888889</v>
      </c>
      <c r="AE15" s="19" t="n">
        <f aca="false">AD15-AC15</f>
        <v>0.555555555555556</v>
      </c>
    </row>
    <row r="16" customFormat="false" ht="12.8" hidden="false" customHeight="false" outlineLevel="0" collapsed="false">
      <c r="A16" s="0" t="s">
        <v>115</v>
      </c>
      <c r="B16" s="17" t="n">
        <v>5</v>
      </c>
      <c r="C16" s="17" t="n">
        <v>8</v>
      </c>
      <c r="D16" s="18" t="n">
        <f aca="false">B16/9</f>
        <v>0.555555555555556</v>
      </c>
      <c r="E16" s="18" t="n">
        <f aca="false">C16/9</f>
        <v>0.888888888888889</v>
      </c>
      <c r="F16" s="19" t="n">
        <f aca="false">E16-D16</f>
        <v>0.333333333333333</v>
      </c>
      <c r="G16" s="17" t="n">
        <v>2</v>
      </c>
      <c r="H16" s="17" t="n">
        <v>9</v>
      </c>
      <c r="I16" s="18" t="n">
        <f aca="false">G16/9</f>
        <v>0.222222222222222</v>
      </c>
      <c r="J16" s="18" t="n">
        <f aca="false">H16/9</f>
        <v>1</v>
      </c>
      <c r="K16" s="19" t="n">
        <f aca="false">J16-I16</f>
        <v>0.777777777777778</v>
      </c>
      <c r="L16" s="17" t="n">
        <v>4</v>
      </c>
      <c r="M16" s="17" t="n">
        <v>10</v>
      </c>
      <c r="N16" s="18" t="n">
        <f aca="false">L16/12</f>
        <v>0.333333333333333</v>
      </c>
      <c r="O16" s="18" t="n">
        <f aca="false">M16/12</f>
        <v>0.833333333333333</v>
      </c>
      <c r="P16" s="19" t="n">
        <f aca="false">O16-N16</f>
        <v>0.5</v>
      </c>
      <c r="Q16" s="17" t="n">
        <v>2</v>
      </c>
      <c r="R16" s="17" t="n">
        <v>10</v>
      </c>
      <c r="S16" s="18" t="n">
        <f aca="false">Q16/11</f>
        <v>0.181818181818182</v>
      </c>
      <c r="T16" s="18" t="n">
        <f aca="false">R16/11</f>
        <v>0.909090909090909</v>
      </c>
      <c r="U16" s="19" t="n">
        <f aca="false">T16-S16</f>
        <v>0.727272727272727</v>
      </c>
      <c r="V16" s="17" t="n">
        <v>2</v>
      </c>
      <c r="W16" s="17" t="n">
        <v>8</v>
      </c>
      <c r="X16" s="18" t="n">
        <f aca="false">V16/9</f>
        <v>0.222222222222222</v>
      </c>
      <c r="Y16" s="18" t="n">
        <f aca="false">W16/9</f>
        <v>0.888888888888889</v>
      </c>
      <c r="Z16" s="19" t="n">
        <f aca="false">Y16-X16</f>
        <v>0.666666666666667</v>
      </c>
      <c r="AA16" s="17" t="n">
        <v>3</v>
      </c>
      <c r="AB16" s="17" t="n">
        <v>7</v>
      </c>
      <c r="AC16" s="18" t="n">
        <f aca="false">AA16/9</f>
        <v>0.333333333333333</v>
      </c>
      <c r="AD16" s="18" t="n">
        <f aca="false">AB16/9</f>
        <v>0.777777777777778</v>
      </c>
      <c r="AE16" s="19" t="n">
        <f aca="false">AD16-AC16</f>
        <v>0.444444444444444</v>
      </c>
    </row>
    <row r="17" customFormat="false" ht="12.8" hidden="false" customHeight="false" outlineLevel="0" collapsed="false">
      <c r="A17" s="0" t="s">
        <v>116</v>
      </c>
      <c r="B17" s="17" t="n">
        <v>0</v>
      </c>
      <c r="C17" s="17" t="n">
        <v>8</v>
      </c>
      <c r="D17" s="18" t="n">
        <f aca="false">B17/9</f>
        <v>0</v>
      </c>
      <c r="E17" s="18" t="n">
        <f aca="false">C17/9</f>
        <v>0.888888888888889</v>
      </c>
      <c r="F17" s="19" t="n">
        <f aca="false">E17-D17</f>
        <v>0.888888888888889</v>
      </c>
      <c r="G17" s="17" t="n">
        <v>0</v>
      </c>
      <c r="H17" s="17" t="n">
        <v>6</v>
      </c>
      <c r="I17" s="18" t="n">
        <f aca="false">G17/9</f>
        <v>0</v>
      </c>
      <c r="J17" s="18" t="n">
        <f aca="false">H17/9</f>
        <v>0.666666666666667</v>
      </c>
      <c r="K17" s="19" t="n">
        <f aca="false">J17-I17</f>
        <v>0.666666666666667</v>
      </c>
      <c r="L17" s="17" t="n">
        <v>0</v>
      </c>
      <c r="M17" s="17" t="n">
        <v>6</v>
      </c>
      <c r="N17" s="18" t="n">
        <f aca="false">L17/12</f>
        <v>0</v>
      </c>
      <c r="O17" s="18" t="n">
        <f aca="false">M17/12</f>
        <v>0.5</v>
      </c>
      <c r="P17" s="19" t="n">
        <f aca="false">O17-N17</f>
        <v>0.5</v>
      </c>
      <c r="Q17" s="17" t="n">
        <v>0</v>
      </c>
      <c r="R17" s="17" t="n">
        <v>6</v>
      </c>
      <c r="S17" s="18" t="n">
        <f aca="false">Q17/11</f>
        <v>0</v>
      </c>
      <c r="T17" s="18" t="n">
        <f aca="false">R17/11</f>
        <v>0.545454545454545</v>
      </c>
      <c r="U17" s="19" t="n">
        <f aca="false">T17-S17</f>
        <v>0.545454545454545</v>
      </c>
      <c r="V17" s="17" t="n">
        <v>0</v>
      </c>
      <c r="W17" s="17" t="n">
        <v>5</v>
      </c>
      <c r="X17" s="18" t="n">
        <f aca="false">V17/9</f>
        <v>0</v>
      </c>
      <c r="Y17" s="18" t="n">
        <f aca="false">W17/9</f>
        <v>0.555555555555556</v>
      </c>
      <c r="Z17" s="19" t="n">
        <f aca="false">Y17-X17</f>
        <v>0.555555555555556</v>
      </c>
      <c r="AA17" s="17" t="n">
        <v>3</v>
      </c>
      <c r="AB17" s="17" t="n">
        <v>8</v>
      </c>
      <c r="AC17" s="18" t="n">
        <f aca="false">AA17/9</f>
        <v>0.333333333333333</v>
      </c>
      <c r="AD17" s="18" t="n">
        <f aca="false">AB17/9</f>
        <v>0.888888888888889</v>
      </c>
      <c r="AE17" s="19" t="n">
        <f aca="false">AD17-AC17</f>
        <v>0.555555555555556</v>
      </c>
    </row>
    <row r="18" customFormat="false" ht="12.8" hidden="false" customHeight="false" outlineLevel="0" collapsed="false">
      <c r="A18" s="0" t="s">
        <v>117</v>
      </c>
      <c r="B18" s="17" t="n">
        <v>2</v>
      </c>
      <c r="C18" s="17" t="n">
        <v>8</v>
      </c>
      <c r="D18" s="18" t="n">
        <f aca="false">B18/9</f>
        <v>0.222222222222222</v>
      </c>
      <c r="E18" s="18" t="n">
        <f aca="false">C18/9</f>
        <v>0.888888888888889</v>
      </c>
      <c r="F18" s="19" t="n">
        <f aca="false">E18-D18</f>
        <v>0.666666666666667</v>
      </c>
      <c r="G18" s="17" t="n">
        <v>1</v>
      </c>
      <c r="H18" s="17" t="n">
        <v>9</v>
      </c>
      <c r="I18" s="18" t="n">
        <f aca="false">G18/9</f>
        <v>0.111111111111111</v>
      </c>
      <c r="J18" s="18" t="n">
        <f aca="false">H18/9</f>
        <v>1</v>
      </c>
      <c r="K18" s="19" t="n">
        <f aca="false">J18-I18</f>
        <v>0.888888888888889</v>
      </c>
      <c r="L18" s="17" t="n">
        <v>4</v>
      </c>
      <c r="M18" s="17" t="n">
        <v>8</v>
      </c>
      <c r="N18" s="18" t="n">
        <f aca="false">L18/12</f>
        <v>0.333333333333333</v>
      </c>
      <c r="O18" s="18" t="n">
        <f aca="false">M18/12</f>
        <v>0.666666666666667</v>
      </c>
      <c r="P18" s="19" t="n">
        <f aca="false">O18-N18</f>
        <v>0.333333333333333</v>
      </c>
      <c r="Q18" s="17" t="n">
        <v>1</v>
      </c>
      <c r="R18" s="17" t="n">
        <v>9</v>
      </c>
      <c r="S18" s="18" t="n">
        <f aca="false">Q18/11</f>
        <v>0.0909090909090909</v>
      </c>
      <c r="T18" s="18" t="n">
        <f aca="false">R18/11</f>
        <v>0.818181818181818</v>
      </c>
      <c r="U18" s="19" t="n">
        <f aca="false">T18-S18</f>
        <v>0.727272727272727</v>
      </c>
      <c r="V18" s="17" t="n">
        <v>0</v>
      </c>
      <c r="W18" s="17" t="n">
        <v>6</v>
      </c>
      <c r="X18" s="18" t="n">
        <f aca="false">V18/9</f>
        <v>0</v>
      </c>
      <c r="Y18" s="18" t="n">
        <f aca="false">W18/9</f>
        <v>0.666666666666667</v>
      </c>
      <c r="Z18" s="19" t="n">
        <f aca="false">Y18-X18</f>
        <v>0.666666666666667</v>
      </c>
      <c r="AA18" s="17" t="n">
        <v>3</v>
      </c>
      <c r="AB18" s="17" t="n">
        <v>8</v>
      </c>
      <c r="AC18" s="18" t="n">
        <f aca="false">AA18/9</f>
        <v>0.333333333333333</v>
      </c>
      <c r="AD18" s="18" t="n">
        <f aca="false">AB18/9</f>
        <v>0.888888888888889</v>
      </c>
      <c r="AE18" s="19" t="n">
        <f aca="false">AD18-AC18</f>
        <v>0.555555555555556</v>
      </c>
    </row>
    <row r="19" customFormat="false" ht="12.8" hidden="false" customHeight="false" outlineLevel="0" collapsed="false">
      <c r="A19" s="0" t="s">
        <v>118</v>
      </c>
      <c r="B19" s="17" t="n">
        <v>5</v>
      </c>
      <c r="C19" s="17" t="n">
        <v>9</v>
      </c>
      <c r="D19" s="18" t="n">
        <f aca="false">B19/9</f>
        <v>0.555555555555556</v>
      </c>
      <c r="E19" s="18" t="n">
        <f aca="false">C19/9</f>
        <v>1</v>
      </c>
      <c r="F19" s="19" t="n">
        <f aca="false">E19-D19</f>
        <v>0.444444444444444</v>
      </c>
      <c r="G19" s="17" t="n">
        <v>2</v>
      </c>
      <c r="H19" s="17" t="n">
        <v>10</v>
      </c>
      <c r="I19" s="18" t="n">
        <f aca="false">G19/9</f>
        <v>0.222222222222222</v>
      </c>
      <c r="J19" s="18" t="n">
        <f aca="false">H19/9</f>
        <v>1.11111111111111</v>
      </c>
      <c r="K19" s="19" t="n">
        <f aca="false">J19-I19</f>
        <v>0.888888888888889</v>
      </c>
      <c r="L19" s="17" t="n">
        <v>4</v>
      </c>
      <c r="M19" s="17" t="n">
        <v>10</v>
      </c>
      <c r="N19" s="18" t="n">
        <f aca="false">L19/12</f>
        <v>0.333333333333333</v>
      </c>
      <c r="O19" s="18" t="n">
        <f aca="false">M19/12</f>
        <v>0.833333333333333</v>
      </c>
      <c r="P19" s="19" t="n">
        <f aca="false">O19-N19</f>
        <v>0.5</v>
      </c>
      <c r="Q19" s="17" t="n">
        <v>2</v>
      </c>
      <c r="R19" s="17" t="n">
        <v>10</v>
      </c>
      <c r="S19" s="18" t="n">
        <f aca="false">Q19/11</f>
        <v>0.181818181818182</v>
      </c>
      <c r="T19" s="18" t="n">
        <f aca="false">R19/11</f>
        <v>0.909090909090909</v>
      </c>
      <c r="U19" s="19" t="n">
        <f aca="false">T19-S19</f>
        <v>0.727272727272727</v>
      </c>
      <c r="V19" s="17" t="n">
        <v>0</v>
      </c>
      <c r="W19" s="17" t="n">
        <v>10</v>
      </c>
      <c r="X19" s="18" t="n">
        <f aca="false">V19/9</f>
        <v>0</v>
      </c>
      <c r="Y19" s="18" t="n">
        <f aca="false">W19/9</f>
        <v>1.11111111111111</v>
      </c>
      <c r="Z19" s="19" t="n">
        <f aca="false">Y19-X19</f>
        <v>1.11111111111111</v>
      </c>
      <c r="AA19" s="17" t="n">
        <v>3</v>
      </c>
      <c r="AB19" s="17" t="n">
        <v>8</v>
      </c>
      <c r="AC19" s="18" t="n">
        <f aca="false">AA19/9</f>
        <v>0.333333333333333</v>
      </c>
      <c r="AD19" s="18" t="n">
        <f aca="false">AB19/9</f>
        <v>0.888888888888889</v>
      </c>
      <c r="AE19" s="19" t="n">
        <f aca="false">AD19-AC19</f>
        <v>0.555555555555556</v>
      </c>
    </row>
  </sheetData>
  <autoFilter ref="A1:AE19"/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K7" activeCellId="0" sqref="K7"/>
    </sheetView>
  </sheetViews>
  <sheetFormatPr defaultRowHeight="12.8" zeroHeight="false" outlineLevelRow="0" outlineLevelCol="0"/>
  <cols>
    <col collapsed="false" customWidth="true" hidden="false" outlineLevel="0" max="1" min="1" style="0" width="22.92"/>
    <col collapsed="false" customWidth="true" hidden="false" outlineLevel="0" max="15" min="2" style="0" width="7.64"/>
    <col collapsed="false" customWidth="false" hidden="false" outlineLevel="0" max="1025" min="16" style="0" width="11.52"/>
  </cols>
  <sheetData>
    <row r="1" customFormat="false" ht="12.8" hidden="false" customHeight="false" outlineLevel="0" collapsed="false">
      <c r="A1" s="16" t="s">
        <v>4</v>
      </c>
      <c r="B1" s="20" t="s">
        <v>119</v>
      </c>
      <c r="C1" s="20" t="s">
        <v>120</v>
      </c>
      <c r="D1" s="20" t="s">
        <v>39</v>
      </c>
      <c r="E1" s="20" t="s">
        <v>36</v>
      </c>
      <c r="F1" s="20" t="s">
        <v>30</v>
      </c>
      <c r="G1" s="20" t="s">
        <v>33</v>
      </c>
      <c r="H1" s="20" t="s">
        <v>121</v>
      </c>
      <c r="I1" s="20" t="s">
        <v>122</v>
      </c>
      <c r="J1" s="20" t="s">
        <v>123</v>
      </c>
      <c r="K1" s="20" t="s">
        <v>124</v>
      </c>
      <c r="L1" s="20" t="s">
        <v>125</v>
      </c>
      <c r="M1" s="20" t="s">
        <v>126</v>
      </c>
      <c r="N1" s="20" t="s">
        <v>22</v>
      </c>
      <c r="O1" s="20" t="s">
        <v>23</v>
      </c>
    </row>
    <row r="2" customFormat="false" ht="12.8" hidden="false" customHeight="false" outlineLevel="0" collapsed="false">
      <c r="A2" s="21" t="s">
        <v>127</v>
      </c>
      <c r="B2" s="22" t="n">
        <v>0.6</v>
      </c>
      <c r="C2" s="22" t="n">
        <v>1</v>
      </c>
      <c r="D2" s="22" t="n">
        <v>1.2</v>
      </c>
      <c r="E2" s="22" t="n">
        <v>1</v>
      </c>
      <c r="F2" s="22" t="n">
        <v>1</v>
      </c>
      <c r="G2" s="22" t="n">
        <v>1</v>
      </c>
      <c r="H2" s="22" t="n">
        <v>0.5</v>
      </c>
      <c r="I2" s="22" t="n">
        <v>1</v>
      </c>
      <c r="J2" s="22" t="n">
        <v>0.44</v>
      </c>
      <c r="K2" s="22" t="n">
        <v>0.333</v>
      </c>
      <c r="L2" s="22" t="n">
        <v>1</v>
      </c>
      <c r="M2" s="22" t="n">
        <v>1</v>
      </c>
      <c r="N2" s="22" t="n">
        <v>0.75</v>
      </c>
      <c r="O2" s="22" t="n">
        <v>0.5</v>
      </c>
    </row>
    <row r="3" customFormat="false" ht="12.8" hidden="false" customHeight="false" outlineLevel="0" collapsed="false">
      <c r="A3" s="21" t="s">
        <v>65</v>
      </c>
      <c r="B3" s="22" t="n">
        <v>1.2</v>
      </c>
      <c r="C3" s="22" t="n">
        <v>0.6</v>
      </c>
      <c r="D3" s="22" t="n">
        <v>0.6</v>
      </c>
      <c r="E3" s="22" t="n">
        <v>0.6</v>
      </c>
      <c r="F3" s="22" t="n">
        <v>1</v>
      </c>
      <c r="G3" s="22" t="n">
        <v>0.6</v>
      </c>
      <c r="H3" s="22" t="n">
        <v>1</v>
      </c>
      <c r="I3" s="22" t="n">
        <v>0.5</v>
      </c>
      <c r="J3" s="22" t="n">
        <v>0.4</v>
      </c>
      <c r="K3" s="22" t="n">
        <v>1</v>
      </c>
      <c r="L3" s="22" t="n">
        <v>2</v>
      </c>
      <c r="M3" s="22" t="n">
        <v>1.5</v>
      </c>
      <c r="N3" s="22" t="n">
        <v>0.5</v>
      </c>
      <c r="O3" s="22" t="n">
        <v>0.5</v>
      </c>
    </row>
    <row r="4" customFormat="false" ht="12.8" hidden="false" customHeight="false" outlineLevel="0" collapsed="false">
      <c r="A4" s="21" t="s">
        <v>69</v>
      </c>
      <c r="B4" s="22" t="n">
        <v>0.6</v>
      </c>
      <c r="C4" s="22" t="n">
        <v>1</v>
      </c>
      <c r="D4" s="22" t="n">
        <v>1</v>
      </c>
      <c r="E4" s="22" t="n">
        <v>1.2</v>
      </c>
      <c r="F4" s="22" t="n">
        <v>1</v>
      </c>
      <c r="G4" s="22" t="n">
        <v>1</v>
      </c>
      <c r="H4" s="22" t="n">
        <v>0.5</v>
      </c>
      <c r="I4" s="22" t="n">
        <v>0.75</v>
      </c>
      <c r="J4" s="22" t="n">
        <v>1</v>
      </c>
      <c r="K4" s="22" t="n">
        <v>0.333</v>
      </c>
      <c r="L4" s="22" t="n">
        <v>1.25</v>
      </c>
      <c r="M4" s="22" t="n">
        <v>1</v>
      </c>
      <c r="N4" s="22" t="n">
        <v>0.5</v>
      </c>
      <c r="O4" s="22" t="n">
        <v>1</v>
      </c>
    </row>
    <row r="5" customFormat="false" ht="12.8" hidden="false" customHeight="false" outlineLevel="0" collapsed="false">
      <c r="A5" s="21" t="s">
        <v>70</v>
      </c>
      <c r="B5" s="22" t="n">
        <v>0.666</v>
      </c>
      <c r="C5" s="22" t="n">
        <v>0.666</v>
      </c>
      <c r="D5" s="22" t="n">
        <v>0.666</v>
      </c>
      <c r="E5" s="22" t="n">
        <v>0.666</v>
      </c>
      <c r="F5" s="22" t="n">
        <v>0.666</v>
      </c>
      <c r="G5" s="22" t="n">
        <v>0.666</v>
      </c>
      <c r="H5" s="22" t="n">
        <v>0.75</v>
      </c>
      <c r="I5" s="22" t="n">
        <v>0.75</v>
      </c>
      <c r="J5" s="22" t="n">
        <v>0.5</v>
      </c>
      <c r="K5" s="22" t="n">
        <v>0.666</v>
      </c>
      <c r="L5" s="22" t="n">
        <v>1.25</v>
      </c>
      <c r="M5" s="22" t="n">
        <v>1.25</v>
      </c>
      <c r="N5" s="22" t="n">
        <v>1</v>
      </c>
      <c r="O5" s="22" t="n">
        <v>1</v>
      </c>
    </row>
    <row r="6" customFormat="false" ht="12.8" hidden="false" customHeight="false" outlineLevel="0" collapsed="false">
      <c r="A6" s="21" t="s">
        <v>71</v>
      </c>
      <c r="B6" s="22" t="n">
        <v>1</v>
      </c>
      <c r="C6" s="22" t="n">
        <v>1.2</v>
      </c>
      <c r="D6" s="22" t="n">
        <v>1</v>
      </c>
      <c r="E6" s="22" t="n">
        <v>1</v>
      </c>
      <c r="F6" s="22" t="n">
        <v>1</v>
      </c>
      <c r="G6" s="22" t="n">
        <v>1</v>
      </c>
      <c r="H6" s="22" t="n">
        <v>1</v>
      </c>
      <c r="I6" s="22" t="n">
        <v>0.75</v>
      </c>
      <c r="J6" s="22" t="n">
        <v>0.9</v>
      </c>
      <c r="K6" s="22" t="n">
        <v>0.666</v>
      </c>
      <c r="L6" s="22" t="n">
        <v>1.5</v>
      </c>
      <c r="M6" s="22" t="n">
        <v>1.25</v>
      </c>
      <c r="N6" s="22" t="n">
        <v>1</v>
      </c>
      <c r="O6" s="22" t="n">
        <v>1.5</v>
      </c>
    </row>
    <row r="7" customFormat="false" ht="12.8" hidden="false" customHeight="false" outlineLevel="0" collapsed="false">
      <c r="A7" s="21" t="s">
        <v>72</v>
      </c>
      <c r="B7" s="22" t="n">
        <v>0.6</v>
      </c>
      <c r="C7" s="22" t="n">
        <v>1</v>
      </c>
      <c r="D7" s="22" t="n">
        <v>1.2</v>
      </c>
      <c r="E7" s="22" t="n">
        <v>1</v>
      </c>
      <c r="F7" s="22" t="n">
        <v>0.6</v>
      </c>
      <c r="G7" s="22" t="n">
        <v>1</v>
      </c>
      <c r="H7" s="22" t="n">
        <v>0.5</v>
      </c>
      <c r="I7" s="22" t="n">
        <v>1</v>
      </c>
      <c r="J7" s="22" t="n">
        <v>0.5</v>
      </c>
      <c r="K7" s="22" t="n">
        <v>0.333</v>
      </c>
      <c r="L7" s="22" t="n">
        <v>1.25</v>
      </c>
      <c r="M7" s="22" t="n">
        <v>1.25</v>
      </c>
      <c r="N7" s="22" t="n">
        <v>0.75</v>
      </c>
      <c r="O7" s="22" t="n">
        <v>1.5</v>
      </c>
    </row>
    <row r="8" customFormat="false" ht="12.8" hidden="false" customHeight="false" outlineLevel="0" collapsed="false">
      <c r="A8" s="21" t="s">
        <v>73</v>
      </c>
      <c r="B8" s="22" t="n">
        <v>1</v>
      </c>
      <c r="C8" s="22" t="n">
        <v>1</v>
      </c>
      <c r="D8" s="22" t="n">
        <v>1</v>
      </c>
      <c r="E8" s="22" t="n">
        <v>1</v>
      </c>
      <c r="F8" s="22" t="n">
        <v>1</v>
      </c>
      <c r="G8" s="22" t="n">
        <v>1</v>
      </c>
      <c r="H8" s="22" t="n">
        <v>0.75</v>
      </c>
      <c r="I8" s="22" t="n">
        <v>0.75</v>
      </c>
      <c r="J8" s="22" t="n">
        <v>0.6</v>
      </c>
      <c r="K8" s="22" t="n">
        <v>0.666</v>
      </c>
      <c r="L8" s="22" t="n">
        <v>1.5</v>
      </c>
      <c r="M8" s="22" t="n">
        <v>1.25</v>
      </c>
      <c r="N8" s="22" t="n">
        <v>0.75</v>
      </c>
      <c r="O8" s="22" t="n">
        <v>1</v>
      </c>
    </row>
    <row r="9" customFormat="false" ht="12.8" hidden="false" customHeight="false" outlineLevel="0" collapsed="false">
      <c r="A9" s="21" t="s">
        <v>74</v>
      </c>
      <c r="B9" s="22" t="n">
        <v>0.6</v>
      </c>
      <c r="C9" s="22" t="n">
        <v>1</v>
      </c>
      <c r="D9" s="22" t="n">
        <v>1.2</v>
      </c>
      <c r="E9" s="22" t="n">
        <v>1.2</v>
      </c>
      <c r="F9" s="22" t="n">
        <v>1</v>
      </c>
      <c r="G9" s="22" t="n">
        <v>1.2</v>
      </c>
      <c r="H9" s="22" t="n">
        <v>0.5</v>
      </c>
      <c r="I9" s="22" t="n">
        <v>0.75</v>
      </c>
      <c r="J9" s="22" t="n">
        <v>0.66</v>
      </c>
      <c r="K9" s="22" t="n">
        <v>0.333</v>
      </c>
      <c r="L9" s="22" t="n">
        <v>1.25</v>
      </c>
      <c r="M9" s="22" t="n">
        <v>1</v>
      </c>
      <c r="N9" s="22" t="n">
        <v>1</v>
      </c>
      <c r="O9" s="22" t="n">
        <v>1.5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1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T15" activeCellId="0" sqref="T15"/>
    </sheetView>
  </sheetViews>
  <sheetFormatPr defaultRowHeight="12.8" zeroHeight="false" outlineLevelRow="0" outlineLevelCol="0"/>
  <cols>
    <col collapsed="false" customWidth="false" hidden="false" outlineLevel="0" max="1" min="1" style="1" width="11.52"/>
    <col collapsed="false" customWidth="true" hidden="false" outlineLevel="0" max="5" min="2" style="2" width="7.64"/>
    <col collapsed="false" customWidth="true" hidden="false" outlineLevel="0" max="14" min="6" style="1" width="7.64"/>
    <col collapsed="false" customWidth="true" hidden="false" outlineLevel="0" max="18" min="15" style="2" width="7.64"/>
    <col collapsed="false" customWidth="true" hidden="false" outlineLevel="0" max="20" min="19" style="2" width="6.39"/>
    <col collapsed="false" customWidth="false" hidden="false" outlineLevel="0" max="1017" min="21" style="1" width="11.52"/>
    <col collapsed="false" customWidth="false" hidden="false" outlineLevel="0" max="1025" min="1018" style="0" width="11.52"/>
  </cols>
  <sheetData>
    <row r="1" customFormat="false" ht="12.8" hidden="false" customHeight="false" outlineLevel="0" collapsed="false">
      <c r="A1" s="23" t="s">
        <v>3</v>
      </c>
      <c r="B1" s="24" t="s">
        <v>128</v>
      </c>
      <c r="C1" s="20" t="s">
        <v>129</v>
      </c>
      <c r="D1" s="20" t="s">
        <v>130</v>
      </c>
      <c r="E1" s="20" t="s">
        <v>131</v>
      </c>
      <c r="F1" s="24" t="s">
        <v>132</v>
      </c>
      <c r="G1" s="24" t="s">
        <v>133</v>
      </c>
      <c r="H1" s="24" t="s">
        <v>134</v>
      </c>
      <c r="I1" s="24" t="s">
        <v>135</v>
      </c>
      <c r="J1" s="24" t="s">
        <v>136</v>
      </c>
      <c r="K1" s="24" t="s">
        <v>137</v>
      </c>
      <c r="L1" s="24" t="s">
        <v>138</v>
      </c>
      <c r="M1" s="24" t="s">
        <v>139</v>
      </c>
      <c r="N1" s="24" t="s">
        <v>140</v>
      </c>
      <c r="O1" s="20" t="s">
        <v>141</v>
      </c>
      <c r="P1" s="24" t="s">
        <v>8</v>
      </c>
      <c r="Q1" s="24" t="s">
        <v>9</v>
      </c>
      <c r="R1" s="24" t="s">
        <v>142</v>
      </c>
      <c r="S1" s="24" t="s">
        <v>50</v>
      </c>
      <c r="T1" s="24" t="s">
        <v>51</v>
      </c>
    </row>
    <row r="2" customFormat="false" ht="12.8" hidden="false" customHeight="false" outlineLevel="0" collapsed="false">
      <c r="A2" s="15" t="s">
        <v>78</v>
      </c>
      <c r="B2" s="25" t="n">
        <f aca="false">1/16</f>
        <v>0.0625</v>
      </c>
      <c r="C2" s="26" t="n">
        <f aca="false">POWER($B2,C$18)</f>
        <v>0.118257205840699</v>
      </c>
      <c r="D2" s="26" t="n">
        <f aca="false">POWER($B2,D$18)</f>
        <v>0.295248165357383</v>
      </c>
      <c r="E2" s="26" t="n">
        <f aca="false">POWER($B2,E$18)</f>
        <v>0.543367431263029</v>
      </c>
      <c r="F2" s="2" t="n">
        <v>-3</v>
      </c>
      <c r="G2" s="2" t="n">
        <v>1</v>
      </c>
      <c r="H2" s="2" t="s">
        <v>143</v>
      </c>
      <c r="I2" s="2" t="n">
        <v>1</v>
      </c>
      <c r="J2" s="2" t="s">
        <v>143</v>
      </c>
      <c r="K2" s="2" t="n">
        <v>1</v>
      </c>
      <c r="L2" s="2" t="n">
        <v>1</v>
      </c>
      <c r="M2" s="2" t="s">
        <v>143</v>
      </c>
      <c r="N2" s="2" t="n">
        <v>7</v>
      </c>
      <c r="O2" s="27" t="n">
        <f aca="false">$O$18*-5</f>
        <v>-6</v>
      </c>
      <c r="P2" s="25" t="n">
        <f aca="false">INT(LOG(P$18*$D2,2))</f>
        <v>1</v>
      </c>
      <c r="Q2" s="25" t="n">
        <f aca="false">INT(LOG(Q$18*(1/$E2),2))</f>
        <v>4</v>
      </c>
      <c r="R2" s="28" t="n">
        <f aca="false">($E2*5)+5+$O2+$P2</f>
        <v>2.71683715631514</v>
      </c>
      <c r="S2" s="2" t="n">
        <v>6</v>
      </c>
      <c r="T2" s="2" t="n">
        <v>0.33</v>
      </c>
    </row>
    <row r="3" customFormat="false" ht="12.8" hidden="false" customHeight="false" outlineLevel="0" collapsed="false">
      <c r="A3" s="1" t="s">
        <v>81</v>
      </c>
      <c r="B3" s="25" t="n">
        <f aca="false">1/8</f>
        <v>0.125</v>
      </c>
      <c r="C3" s="26" t="n">
        <f aca="false">POWER($B3,C$18)</f>
        <v>0.201660439805532</v>
      </c>
      <c r="D3" s="26" t="n">
        <f aca="false">POWER($B3,D$18)</f>
        <v>0.400534938794811</v>
      </c>
      <c r="E3" s="26" t="n">
        <f aca="false">POWER($B3,E$18)</f>
        <v>0.63287829698514</v>
      </c>
      <c r="F3" s="2" t="n">
        <v>-2</v>
      </c>
      <c r="G3" s="2" t="n">
        <v>2</v>
      </c>
      <c r="H3" s="2" t="n">
        <v>1</v>
      </c>
      <c r="I3" s="2" t="n">
        <v>2</v>
      </c>
      <c r="J3" s="2" t="n">
        <v>1</v>
      </c>
      <c r="K3" s="2" t="n">
        <v>2</v>
      </c>
      <c r="L3" s="2" t="n">
        <v>1</v>
      </c>
      <c r="M3" s="2" t="n">
        <v>1</v>
      </c>
      <c r="N3" s="2" t="n">
        <v>6</v>
      </c>
      <c r="O3" s="27" t="n">
        <f aca="false">$O$18*-3</f>
        <v>-3.6</v>
      </c>
      <c r="P3" s="25" t="n">
        <f aca="false">INT(LOG(P$18*$D3,2))</f>
        <v>2</v>
      </c>
      <c r="Q3" s="25" t="n">
        <f aca="false">INT(LOG(Q$18*(1/$E3),2))</f>
        <v>3</v>
      </c>
      <c r="R3" s="28" t="n">
        <f aca="false">($E3*5)+5+$O3+$P3</f>
        <v>6.5643914849257</v>
      </c>
      <c r="S3" s="2" t="n">
        <v>7</v>
      </c>
      <c r="T3" s="2" t="n">
        <v>0.5</v>
      </c>
    </row>
    <row r="4" customFormat="false" ht="12.8" hidden="false" customHeight="false" outlineLevel="0" collapsed="false">
      <c r="A4" s="1" t="s">
        <v>82</v>
      </c>
      <c r="B4" s="25" t="n">
        <f aca="false">1/4</f>
        <v>0.25</v>
      </c>
      <c r="C4" s="26" t="n">
        <f aca="false">POWER($B4,C$18)</f>
        <v>0.343885454534936</v>
      </c>
      <c r="D4" s="26" t="n">
        <f aca="false">POWER($B4,D$18)</f>
        <v>0.543367431263029</v>
      </c>
      <c r="E4" s="26" t="n">
        <f aca="false">POWER($B4,E$18)</f>
        <v>0.737134608645551</v>
      </c>
      <c r="F4" s="2" t="n">
        <v>-1</v>
      </c>
      <c r="G4" s="2" t="n">
        <v>3</v>
      </c>
      <c r="H4" s="2" t="n">
        <v>2</v>
      </c>
      <c r="I4" s="2" t="n">
        <v>3</v>
      </c>
      <c r="J4" s="2" t="n">
        <v>2</v>
      </c>
      <c r="K4" s="2" t="n">
        <v>3</v>
      </c>
      <c r="L4" s="2" t="n">
        <v>2</v>
      </c>
      <c r="M4" s="2" t="n">
        <v>2</v>
      </c>
      <c r="N4" s="2" t="n">
        <v>6</v>
      </c>
      <c r="O4" s="27" t="n">
        <f aca="false">$O$18*-2</f>
        <v>-2.4</v>
      </c>
      <c r="P4" s="25" t="n">
        <f aca="false">INT(LOG(P$18*$D4,2))</f>
        <v>2</v>
      </c>
      <c r="Q4" s="25" t="n">
        <f aca="false">INT(LOG(Q$18*(1/$E4),2))</f>
        <v>3</v>
      </c>
      <c r="R4" s="28" t="n">
        <f aca="false">($E4*5)+5+$O4+$P4</f>
        <v>8.28567304322775</v>
      </c>
      <c r="S4" s="2" t="n">
        <v>8</v>
      </c>
      <c r="T4" s="2" t="n">
        <v>0.66</v>
      </c>
    </row>
    <row r="5" customFormat="false" ht="12.8" hidden="false" customHeight="false" outlineLevel="0" collapsed="false">
      <c r="A5" s="1" t="s">
        <v>83</v>
      </c>
      <c r="B5" s="25" t="n">
        <f aca="false">1/2</f>
        <v>0.5</v>
      </c>
      <c r="C5" s="26" t="n">
        <f aca="false">POWER($B5,C$18)</f>
        <v>0.586417474615939</v>
      </c>
      <c r="D5" s="26" t="n">
        <f aca="false">POWER($B5,D$18)</f>
        <v>0.737134608645551</v>
      </c>
      <c r="E5" s="26" t="n">
        <f aca="false">POWER($B5,E$18)</f>
        <v>0.858565436437754</v>
      </c>
      <c r="F5" s="2" t="n">
        <v>0</v>
      </c>
      <c r="G5" s="2" t="n">
        <v>4</v>
      </c>
      <c r="H5" s="2" t="n">
        <v>3</v>
      </c>
      <c r="I5" s="2" t="n">
        <v>4</v>
      </c>
      <c r="J5" s="2" t="n">
        <v>3</v>
      </c>
      <c r="K5" s="2" t="n">
        <v>4</v>
      </c>
      <c r="L5" s="2" t="n">
        <v>3</v>
      </c>
      <c r="M5" s="2" t="n">
        <v>3</v>
      </c>
      <c r="N5" s="2" t="n">
        <v>5</v>
      </c>
      <c r="O5" s="27" t="n">
        <f aca="false">$O$18*-1</f>
        <v>-1.2</v>
      </c>
      <c r="P5" s="25" t="n">
        <f aca="false">INT(LOG(P$18*$D5,2))</f>
        <v>2</v>
      </c>
      <c r="Q5" s="25" t="n">
        <f aca="false">INT(LOG(Q$18*(1/$E5),2))</f>
        <v>3</v>
      </c>
      <c r="R5" s="28" t="n">
        <f aca="false">($E5*5)+5+$O5+$P5</f>
        <v>10.0928271821888</v>
      </c>
      <c r="S5" s="2" t="n">
        <v>9</v>
      </c>
      <c r="T5" s="2" t="n">
        <v>0.75</v>
      </c>
    </row>
    <row r="6" customFormat="false" ht="12.8" hidden="false" customHeight="false" outlineLevel="0" collapsed="false">
      <c r="A6" s="1" t="s">
        <v>64</v>
      </c>
      <c r="B6" s="25" t="n">
        <v>1</v>
      </c>
      <c r="C6" s="26" t="n">
        <f aca="false">POWER($B6,C$18)</f>
        <v>1</v>
      </c>
      <c r="D6" s="26" t="n">
        <f aca="false">POWER($B6,D$18)</f>
        <v>1</v>
      </c>
      <c r="E6" s="26" t="n">
        <f aca="false">POWER($B6,E$18)</f>
        <v>1</v>
      </c>
      <c r="F6" s="2" t="n">
        <v>1</v>
      </c>
      <c r="G6" s="2" t="n">
        <v>6</v>
      </c>
      <c r="H6" s="2" t="n">
        <v>4</v>
      </c>
      <c r="I6" s="2" t="n">
        <v>6</v>
      </c>
      <c r="J6" s="2" t="n">
        <v>4</v>
      </c>
      <c r="K6" s="2" t="n">
        <v>6</v>
      </c>
      <c r="L6" s="2" t="n">
        <v>4</v>
      </c>
      <c r="M6" s="2" t="n">
        <v>4</v>
      </c>
      <c r="N6" s="2" t="n">
        <v>5</v>
      </c>
      <c r="O6" s="27" t="n">
        <f aca="false">$O$18*0</f>
        <v>0</v>
      </c>
      <c r="P6" s="25" t="n">
        <f aca="false">INT(LOG(P$18*$D6,2))</f>
        <v>3</v>
      </c>
      <c r="Q6" s="25" t="n">
        <f aca="false">INT(LOG(Q$18*(1/$E6),2))</f>
        <v>3</v>
      </c>
      <c r="R6" s="28" t="n">
        <f aca="false">($E6*5)+5+$O6+$P6</f>
        <v>13</v>
      </c>
      <c r="S6" s="2" t="n">
        <v>10</v>
      </c>
      <c r="T6" s="2" t="n">
        <v>1</v>
      </c>
    </row>
    <row r="7" customFormat="false" ht="12.8" hidden="false" customHeight="false" outlineLevel="0" collapsed="false">
      <c r="A7" s="1" t="s">
        <v>84</v>
      </c>
      <c r="B7" s="25" t="n">
        <v>2</v>
      </c>
      <c r="C7" s="26" t="n">
        <f aca="false">POWER($B7,C$18)</f>
        <v>1.70526978353591</v>
      </c>
      <c r="D7" s="26" t="n">
        <f aca="false">POWER($B7,D$18)</f>
        <v>1.35660432744767</v>
      </c>
      <c r="E7" s="26" t="n">
        <f aca="false">POWER($B7,E$18)</f>
        <v>1.16473358646846</v>
      </c>
      <c r="F7" s="2" t="n">
        <v>2</v>
      </c>
      <c r="G7" s="2" t="n">
        <v>8</v>
      </c>
      <c r="H7" s="2" t="n">
        <v>6</v>
      </c>
      <c r="I7" s="2" t="n">
        <v>8</v>
      </c>
      <c r="J7" s="2" t="n">
        <v>6</v>
      </c>
      <c r="K7" s="2" t="n">
        <v>8</v>
      </c>
      <c r="L7" s="2" t="n">
        <v>6</v>
      </c>
      <c r="M7" s="2" t="n">
        <v>6</v>
      </c>
      <c r="N7" s="2" t="n">
        <v>4</v>
      </c>
      <c r="O7" s="27" t="n">
        <f aca="false">$O$18*2</f>
        <v>2.4</v>
      </c>
      <c r="P7" s="25" t="n">
        <f aca="false">INT(LOG(P$18*$D7,2))</f>
        <v>3</v>
      </c>
      <c r="Q7" s="25" t="n">
        <f aca="false">INT(LOG(Q$18*(1/$E7),2))</f>
        <v>3</v>
      </c>
      <c r="R7" s="28" t="n">
        <f aca="false">($E7*5)+5+$O7+$P7</f>
        <v>16.2236679323423</v>
      </c>
      <c r="S7" s="2" t="n">
        <v>12</v>
      </c>
      <c r="T7" s="2" t="n">
        <v>1.5</v>
      </c>
    </row>
    <row r="8" customFormat="false" ht="12.8" hidden="false" customHeight="false" outlineLevel="0" collapsed="false">
      <c r="A8" s="1" t="s">
        <v>85</v>
      </c>
      <c r="B8" s="25" t="n">
        <v>4</v>
      </c>
      <c r="C8" s="26" t="n">
        <f aca="false">POWER($B8,C$18)</f>
        <v>2.90794503464062</v>
      </c>
      <c r="D8" s="26" t="n">
        <f aca="false">POWER($B8,D$18)</f>
        <v>1.84037530124975</v>
      </c>
      <c r="E8" s="26" t="n">
        <f aca="false">POWER($B8,E$18)</f>
        <v>1.35660432744767</v>
      </c>
      <c r="F8" s="2" t="n">
        <v>3</v>
      </c>
      <c r="G8" s="2" t="n">
        <v>12</v>
      </c>
      <c r="H8" s="2" t="n">
        <v>8</v>
      </c>
      <c r="I8" s="2" t="n">
        <v>12</v>
      </c>
      <c r="J8" s="2" t="n">
        <v>8</v>
      </c>
      <c r="K8" s="2" t="n">
        <v>12</v>
      </c>
      <c r="L8" s="2" t="n">
        <v>8</v>
      </c>
      <c r="M8" s="2" t="n">
        <v>8</v>
      </c>
      <c r="N8" s="2" t="n">
        <v>4</v>
      </c>
      <c r="O8" s="27" t="n">
        <f aca="false">$O$18*5</f>
        <v>6</v>
      </c>
      <c r="P8" s="25" t="n">
        <f aca="false">INT(LOG(P$18*$D8,2))</f>
        <v>4</v>
      </c>
      <c r="Q8" s="25" t="n">
        <f aca="false">INT(LOG(Q$18*(1/$E8),2))</f>
        <v>2</v>
      </c>
      <c r="R8" s="28" t="n">
        <f aca="false">($E8*5)+5+$O8+$P8</f>
        <v>21.7830216372384</v>
      </c>
      <c r="S8" s="2" t="n">
        <v>14</v>
      </c>
      <c r="T8" s="2" t="n">
        <v>2</v>
      </c>
    </row>
    <row r="9" customFormat="false" ht="12.8" hidden="false" customHeight="false" outlineLevel="0" collapsed="false">
      <c r="A9" s="1" t="s">
        <v>86</v>
      </c>
      <c r="B9" s="25" t="n">
        <v>8</v>
      </c>
      <c r="C9" s="26" t="n">
        <f aca="false">POWER($B9,C$18)</f>
        <v>4.95883079975595</v>
      </c>
      <c r="D9" s="26" t="n">
        <f aca="false">POWER($B9,D$18)</f>
        <v>2.49666109780322</v>
      </c>
      <c r="E9" s="26" t="n">
        <f aca="false">POWER($B9,E$18)</f>
        <v>1.58008262372675</v>
      </c>
      <c r="F9" s="2" t="n">
        <v>4</v>
      </c>
      <c r="G9" s="2" t="n">
        <v>16</v>
      </c>
      <c r="H9" s="2" t="n">
        <v>12</v>
      </c>
      <c r="I9" s="2" t="n">
        <v>16</v>
      </c>
      <c r="J9" s="2" t="n">
        <v>12</v>
      </c>
      <c r="K9" s="2" t="n">
        <v>16</v>
      </c>
      <c r="L9" s="2" t="n">
        <v>12</v>
      </c>
      <c r="M9" s="2" t="n">
        <v>12</v>
      </c>
      <c r="N9" s="2" t="n">
        <v>3</v>
      </c>
      <c r="O9" s="27" t="n">
        <f aca="false">$O$18*7</f>
        <v>8.4</v>
      </c>
      <c r="P9" s="25" t="n">
        <f aca="false">INT(LOG(P$18*$D9,2))</f>
        <v>4</v>
      </c>
      <c r="Q9" s="25" t="n">
        <f aca="false">INT(LOG(Q$18*(1/$E9),2))</f>
        <v>2</v>
      </c>
      <c r="R9" s="28" t="n">
        <f aca="false">($E9*5)+5+$O9+$P9</f>
        <v>25.3004131186338</v>
      </c>
      <c r="S9" s="2" t="n">
        <v>16</v>
      </c>
      <c r="T9" s="2" t="n">
        <v>3</v>
      </c>
    </row>
    <row r="10" customFormat="false" ht="12.8" hidden="false" customHeight="false" outlineLevel="0" collapsed="false">
      <c r="A10" s="1" t="s">
        <v>87</v>
      </c>
      <c r="B10" s="25" t="n">
        <v>16</v>
      </c>
      <c r="C10" s="26" t="n">
        <f aca="false">POWER($B10,C$18)</f>
        <v>8.45614432449104</v>
      </c>
      <c r="D10" s="26" t="n">
        <f aca="false">POWER($B10,D$18)</f>
        <v>3.38698124945011</v>
      </c>
      <c r="E10" s="26" t="n">
        <f aca="false">POWER($B10,E$18)</f>
        <v>1.84037530124975</v>
      </c>
      <c r="F10" s="2" t="n">
        <v>5</v>
      </c>
      <c r="G10" s="2" t="n">
        <v>24</v>
      </c>
      <c r="H10" s="2" t="n">
        <v>16</v>
      </c>
      <c r="I10" s="2" t="n">
        <v>24</v>
      </c>
      <c r="J10" s="2" t="n">
        <v>16</v>
      </c>
      <c r="K10" s="2" t="n">
        <v>24</v>
      </c>
      <c r="L10" s="2" t="n">
        <v>18</v>
      </c>
      <c r="M10" s="2" t="n">
        <v>24</v>
      </c>
      <c r="N10" s="2" t="n">
        <v>3</v>
      </c>
      <c r="O10" s="27" t="n">
        <f aca="false">$O$18*10</f>
        <v>12</v>
      </c>
      <c r="P10" s="25" t="n">
        <f aca="false">INT(LOG(P$18*$D10,2))</f>
        <v>5</v>
      </c>
      <c r="Q10" s="25" t="n">
        <f aca="false">INT(LOG(Q$18*(1/$E10),2))</f>
        <v>2</v>
      </c>
      <c r="R10" s="28" t="n">
        <f aca="false">($E10*5)+5+$O10+$P10</f>
        <v>31.2018765062488</v>
      </c>
      <c r="S10" s="2" t="n">
        <v>18</v>
      </c>
      <c r="T10" s="2" t="n">
        <v>4</v>
      </c>
    </row>
    <row r="11" customFormat="false" ht="12.8" hidden="false" customHeight="false" outlineLevel="0" collapsed="false">
      <c r="A11" s="1" t="s">
        <v>88</v>
      </c>
      <c r="B11" s="25" t="n">
        <v>32</v>
      </c>
      <c r="C11" s="26" t="n">
        <f aca="false">POWER($B11,C$18)</f>
        <v>14.4200074017733</v>
      </c>
      <c r="D11" s="26" t="n">
        <f aca="false">POWER($B11,D$18)</f>
        <v>4.59479341998814</v>
      </c>
      <c r="E11" s="26" t="n">
        <f aca="false">POWER($B11,E$18)</f>
        <v>2.14354692507259</v>
      </c>
      <c r="F11" s="2" t="n">
        <v>6</v>
      </c>
      <c r="G11" s="2" t="n">
        <v>32</v>
      </c>
      <c r="H11" s="2" t="n">
        <v>24</v>
      </c>
      <c r="I11" s="2" t="n">
        <v>32</v>
      </c>
      <c r="J11" s="2" t="n">
        <v>24</v>
      </c>
      <c r="K11" s="2" t="n">
        <v>32</v>
      </c>
      <c r="L11" s="2" t="n">
        <v>36</v>
      </c>
      <c r="M11" s="2" t="n">
        <v>36</v>
      </c>
      <c r="N11" s="2" t="n">
        <v>2</v>
      </c>
      <c r="O11" s="27" t="n">
        <f aca="false">$O$18*15</f>
        <v>18</v>
      </c>
      <c r="P11" s="25" t="n">
        <f aca="false">INT(LOG(P$18*$D11,2))</f>
        <v>5</v>
      </c>
      <c r="Q11" s="25" t="n">
        <f aca="false">INT(LOG(Q$18*(1/$E11),2))</f>
        <v>2</v>
      </c>
      <c r="R11" s="28" t="n">
        <f aca="false">($E11*5)+5+$O11+$P11</f>
        <v>38.7177346253629</v>
      </c>
      <c r="S11" s="2" t="n">
        <v>20</v>
      </c>
      <c r="T11" s="2" t="n">
        <v>5</v>
      </c>
    </row>
    <row r="12" customFormat="false" ht="12.8" hidden="false" customHeight="false" outlineLevel="0" collapsed="false">
      <c r="A12" s="1" t="s">
        <v>89</v>
      </c>
      <c r="B12" s="25" t="n">
        <v>64</v>
      </c>
      <c r="C12" s="26" t="n">
        <f aca="false">POWER($B12,C$18)</f>
        <v>24.5900029006082</v>
      </c>
      <c r="D12" s="26" t="n">
        <f aca="false">POWER($B12,D$18)</f>
        <v>6.233316637284</v>
      </c>
      <c r="E12" s="26" t="n">
        <f aca="false">POWER($B12,E$18)</f>
        <v>2.49666109780322</v>
      </c>
      <c r="F12" s="2" t="n">
        <v>7</v>
      </c>
      <c r="G12" s="2" t="n">
        <v>36</v>
      </c>
      <c r="H12" s="2" t="n">
        <v>32</v>
      </c>
      <c r="I12" s="2" t="n">
        <v>36</v>
      </c>
      <c r="J12" s="2" t="n">
        <v>32</v>
      </c>
      <c r="K12" s="2" t="n">
        <v>36</v>
      </c>
      <c r="L12" s="2" t="n">
        <v>54</v>
      </c>
      <c r="M12" s="2" t="n">
        <v>60</v>
      </c>
      <c r="N12" s="2" t="n">
        <v>2</v>
      </c>
      <c r="O12" s="27" t="n">
        <f aca="false">$O$18*20</f>
        <v>24</v>
      </c>
      <c r="P12" s="25" t="n">
        <f aca="false">INT(LOG(P$18*$D12,2))</f>
        <v>5</v>
      </c>
      <c r="Q12" s="25" t="n">
        <f aca="false">INT(LOG(Q$18*(1/$E12),2))</f>
        <v>2</v>
      </c>
      <c r="R12" s="28" t="n">
        <f aca="false">($E12*5)+5+$O12+$P12</f>
        <v>46.4833054890161</v>
      </c>
      <c r="S12" s="2" t="n">
        <v>22</v>
      </c>
      <c r="T12" s="2" t="n">
        <v>6</v>
      </c>
    </row>
    <row r="13" customFormat="false" ht="12.8" hidden="false" customHeight="false" outlineLevel="0" collapsed="false">
      <c r="A13" s="1" t="s">
        <v>90</v>
      </c>
      <c r="B13" s="25" t="n">
        <v>128</v>
      </c>
      <c r="C13" s="26" t="n">
        <f aca="false">POWER($B13,C$18)</f>
        <v>41.9325889234676</v>
      </c>
      <c r="D13" s="26" t="n">
        <f aca="false">POWER($B13,D$18)</f>
        <v>8.45614432449104</v>
      </c>
      <c r="E13" s="26" t="n">
        <f aca="false">POWER($B13,E$18)</f>
        <v>2.90794503464062</v>
      </c>
      <c r="F13" s="2" t="n">
        <v>8</v>
      </c>
      <c r="G13" s="2" t="n">
        <v>40</v>
      </c>
      <c r="H13" s="2" t="n">
        <v>36</v>
      </c>
      <c r="I13" s="2" t="n">
        <v>40</v>
      </c>
      <c r="J13" s="2" t="n">
        <v>36</v>
      </c>
      <c r="K13" s="2" t="n">
        <v>40</v>
      </c>
      <c r="L13" s="2" t="n">
        <v>72</v>
      </c>
      <c r="M13" s="2" t="n">
        <v>72</v>
      </c>
      <c r="N13" s="2" t="n">
        <v>1</v>
      </c>
      <c r="O13" s="27" t="n">
        <f aca="false">$O$18*25</f>
        <v>30</v>
      </c>
      <c r="P13" s="25" t="n">
        <f aca="false">INT(LOG(P$18*$D13,2))</f>
        <v>6</v>
      </c>
      <c r="Q13" s="25" t="n">
        <f aca="false">INT(LOG(Q$18*(1/$E13),2))</f>
        <v>1</v>
      </c>
      <c r="R13" s="28" t="n">
        <f aca="false">($E13*5)+5+$O13+$P13</f>
        <v>55.5397251732031</v>
      </c>
      <c r="S13" s="2" t="n">
        <v>24</v>
      </c>
      <c r="T13" s="2" t="n">
        <v>7</v>
      </c>
    </row>
    <row r="14" customFormat="false" ht="12.8" hidden="false" customHeight="false" outlineLevel="0" collapsed="false">
      <c r="A14" s="1" t="s">
        <v>91</v>
      </c>
      <c r="B14" s="25" t="n">
        <v>256</v>
      </c>
      <c r="C14" s="26" t="n">
        <f aca="false">POWER($B14,C$18)</f>
        <v>71.5063768366221</v>
      </c>
      <c r="D14" s="26" t="n">
        <f aca="false">POWER($B14,D$18)</f>
        <v>11.4716419841266</v>
      </c>
      <c r="E14" s="26" t="n">
        <f aca="false">POWER($B14,E$18)</f>
        <v>3.38698124945011</v>
      </c>
      <c r="F14" s="2" t="n">
        <v>9</v>
      </c>
      <c r="G14" s="2" t="n">
        <v>42</v>
      </c>
      <c r="H14" s="2" t="n">
        <v>40</v>
      </c>
      <c r="I14" s="2" t="n">
        <v>44</v>
      </c>
      <c r="J14" s="2" t="n">
        <v>40</v>
      </c>
      <c r="K14" s="2" t="n">
        <v>44</v>
      </c>
      <c r="L14" s="2"/>
      <c r="M14" s="2" t="n">
        <v>84</v>
      </c>
      <c r="N14" s="2" t="n">
        <v>1</v>
      </c>
      <c r="O14" s="27" t="n">
        <f aca="false">$O$18*30</f>
        <v>36</v>
      </c>
      <c r="P14" s="25" t="n">
        <f aca="false">INT(LOG(P$18*$D14,2))</f>
        <v>6</v>
      </c>
      <c r="Q14" s="25" t="n">
        <f aca="false">INT(LOG(Q$18*(1/$E14),2))</f>
        <v>1</v>
      </c>
      <c r="R14" s="28" t="n">
        <f aca="false">($E14*5)+5+$O14+$P14</f>
        <v>63.9349062472505</v>
      </c>
      <c r="S14" s="2" t="n">
        <v>26</v>
      </c>
      <c r="T14" s="2" t="n">
        <v>8</v>
      </c>
    </row>
    <row r="15" customFormat="false" ht="12.8" hidden="false" customHeight="false" outlineLevel="0" collapsed="false">
      <c r="B15" s="25"/>
      <c r="C15" s="26"/>
      <c r="D15" s="26"/>
      <c r="E15" s="26"/>
      <c r="F15" s="2"/>
      <c r="G15" s="2"/>
      <c r="H15" s="2"/>
      <c r="I15" s="2"/>
      <c r="J15" s="2"/>
      <c r="K15" s="2"/>
      <c r="L15" s="2"/>
      <c r="M15" s="2"/>
      <c r="N15" s="2"/>
      <c r="O15" s="27"/>
      <c r="P15" s="25"/>
      <c r="Q15" s="25"/>
      <c r="R15" s="28"/>
    </row>
    <row r="16" customFormat="false" ht="12.8" hidden="false" customHeight="false" outlineLevel="0" collapsed="false">
      <c r="C16" s="17"/>
      <c r="D16" s="17"/>
      <c r="E16" s="17"/>
      <c r="G16" s="23" t="s">
        <v>144</v>
      </c>
      <c r="O16" s="17"/>
    </row>
    <row r="17" customFormat="false" ht="12.8" hidden="false" customHeight="false" outlineLevel="0" collapsed="false">
      <c r="C17" s="17"/>
      <c r="D17" s="17"/>
      <c r="E17" s="17"/>
      <c r="G17" s="29" t="s">
        <v>145</v>
      </c>
      <c r="O17" s="17"/>
    </row>
    <row r="18" customFormat="false" ht="12.8" hidden="false" customHeight="false" outlineLevel="0" collapsed="false">
      <c r="C18" s="17" t="n">
        <v>0.77</v>
      </c>
      <c r="D18" s="17" t="n">
        <v>0.44</v>
      </c>
      <c r="E18" s="17" t="n">
        <v>0.22</v>
      </c>
      <c r="G18" s="29" t="s">
        <v>146</v>
      </c>
      <c r="O18" s="17" t="n">
        <v>1.2</v>
      </c>
      <c r="P18" s="2" t="n">
        <v>10</v>
      </c>
      <c r="Q18" s="2" t="n">
        <v>10</v>
      </c>
    </row>
    <row r="19" customFormat="false" ht="12.8" hidden="false" customHeight="false" outlineLevel="0" collapsed="false">
      <c r="C19" s="17"/>
      <c r="D19" s="17"/>
      <c r="E19" s="17"/>
      <c r="G19" s="29" t="s">
        <v>147</v>
      </c>
      <c r="O19" s="17"/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X22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H5" activeCellId="0" sqref="H5"/>
    </sheetView>
  </sheetViews>
  <sheetFormatPr defaultRowHeight="12.8" zeroHeight="false" outlineLevelRow="0" outlineLevelCol="0"/>
  <cols>
    <col collapsed="false" customWidth="true" hidden="false" outlineLevel="0" max="3" min="1" style="0" width="6.67"/>
    <col collapsed="false" customWidth="true" hidden="false" outlineLevel="0" max="5" min="4" style="17" width="6.67"/>
    <col collapsed="false" customWidth="false" hidden="false" outlineLevel="0" max="1025" min="6" style="0" width="11.52"/>
  </cols>
  <sheetData>
    <row r="1" customFormat="false" ht="12.8" hidden="false" customHeight="false" outlineLevel="0" collapsed="false">
      <c r="A1" s="30" t="s">
        <v>148</v>
      </c>
      <c r="D1" s="31" t="s">
        <v>149</v>
      </c>
      <c r="E1" s="20"/>
    </row>
    <row r="2" customFormat="false" ht="12.8" hidden="false" customHeight="false" outlineLevel="0" collapsed="false">
      <c r="A2" s="20" t="s">
        <v>150</v>
      </c>
      <c r="B2" s="20" t="s">
        <v>151</v>
      </c>
      <c r="D2" s="20" t="s">
        <v>152</v>
      </c>
      <c r="E2" s="20" t="s">
        <v>151</v>
      </c>
    </row>
    <row r="3" customFormat="false" ht="12.8" hidden="false" customHeight="false" outlineLevel="0" collapsed="false">
      <c r="A3" s="17" t="n">
        <v>1</v>
      </c>
      <c r="B3" s="32" t="n">
        <f aca="false">1+INT(LOG($A3,5)*2)</f>
        <v>1</v>
      </c>
      <c r="D3" s="17" t="n">
        <v>1</v>
      </c>
      <c r="E3" s="17" t="n">
        <f aca="false">INT($D3/20)</f>
        <v>0</v>
      </c>
      <c r="H3" s="0" t="s">
        <v>153</v>
      </c>
      <c r="I3" s="0" t="s">
        <v>154</v>
      </c>
      <c r="J3" s="0" t="s">
        <v>155</v>
      </c>
      <c r="K3" s="0" t="s">
        <v>156</v>
      </c>
      <c r="L3" s="0" t="s">
        <v>157</v>
      </c>
      <c r="M3" s="0" t="s">
        <v>158</v>
      </c>
      <c r="N3" s="0" t="s">
        <v>159</v>
      </c>
      <c r="O3" s="0" t="s">
        <v>160</v>
      </c>
      <c r="P3" s="0" t="s">
        <v>161</v>
      </c>
      <c r="Q3" s="0" t="s">
        <v>162</v>
      </c>
      <c r="S3" s="0" t="s">
        <v>8</v>
      </c>
      <c r="T3" s="0" t="s">
        <v>9</v>
      </c>
      <c r="U3" s="0" t="s">
        <v>10</v>
      </c>
      <c r="V3" s="0" t="s">
        <v>11</v>
      </c>
      <c r="W3" s="0" t="s">
        <v>12</v>
      </c>
      <c r="X3" s="0" t="s">
        <v>13</v>
      </c>
    </row>
    <row r="4" customFormat="false" ht="12.8" hidden="false" customHeight="false" outlineLevel="0" collapsed="false">
      <c r="A4" s="17" t="n">
        <v>2</v>
      </c>
      <c r="B4" s="32" t="n">
        <f aca="false">1+INT(LOG($A4,5)*2)</f>
        <v>1</v>
      </c>
      <c r="D4" s="17" t="n">
        <v>2</v>
      </c>
      <c r="E4" s="17" t="n">
        <f aca="false">INT($D4/20)</f>
        <v>0</v>
      </c>
      <c r="H4" s="0" t="n">
        <f aca="false">H5+H6</f>
        <v>0</v>
      </c>
      <c r="I4" s="0" t="n">
        <f aca="false">I5+I6</f>
        <v>0</v>
      </c>
      <c r="J4" s="0" t="n">
        <f aca="false">J5+J6</f>
        <v>0</v>
      </c>
      <c r="K4" s="0" t="n">
        <f aca="false">K5+K6</f>
        <v>0</v>
      </c>
      <c r="L4" s="0" t="n">
        <f aca="false">L5+L6</f>
        <v>0</v>
      </c>
      <c r="M4" s="0" t="n">
        <f aca="false">M5+M6</f>
        <v>0</v>
      </c>
      <c r="N4" s="0" t="n">
        <f aca="false">N5+N6</f>
        <v>0</v>
      </c>
      <c r="O4" s="0" t="n">
        <f aca="false">O5+O6</f>
        <v>0</v>
      </c>
      <c r="P4" s="0" t="n">
        <f aca="false">P5+P6</f>
        <v>0</v>
      </c>
      <c r="Q4" s="0" t="n">
        <f aca="false">Q5+Q6</f>
        <v>0</v>
      </c>
      <c r="S4" s="0" t="n">
        <f aca="false">($Q4+$I4)/40</f>
        <v>0</v>
      </c>
      <c r="T4" s="0" t="n">
        <f aca="false">($N4+$H4)/40</f>
        <v>0</v>
      </c>
      <c r="U4" s="0" t="n">
        <f aca="false">($L4+$O4)/40</f>
        <v>0</v>
      </c>
      <c r="V4" s="0" t="n">
        <f aca="false">K4/20</f>
        <v>0</v>
      </c>
      <c r="W4" s="0" t="n">
        <f aca="false">P4/20</f>
        <v>0</v>
      </c>
      <c r="X4" s="0" t="n">
        <f aca="false">($M4+$J4)/40</f>
        <v>0</v>
      </c>
    </row>
    <row r="5" customFormat="false" ht="12.8" hidden="false" customHeight="false" outlineLevel="0" collapsed="false">
      <c r="A5" s="17" t="n">
        <v>3</v>
      </c>
      <c r="B5" s="32" t="n">
        <f aca="false">1+INT(LOG($A5,5)*2)</f>
        <v>2</v>
      </c>
      <c r="D5" s="17" t="n">
        <v>3</v>
      </c>
      <c r="E5" s="17" t="n">
        <f aca="false">INT($D5/20)</f>
        <v>0</v>
      </c>
    </row>
    <row r="6" customFormat="false" ht="12.8" hidden="false" customHeight="false" outlineLevel="0" collapsed="false">
      <c r="A6" s="17" t="n">
        <v>4</v>
      </c>
      <c r="B6" s="32" t="n">
        <f aca="false">1+INT(LOG($A6,5)*2)</f>
        <v>2</v>
      </c>
      <c r="D6" s="17" t="n">
        <v>4</v>
      </c>
      <c r="E6" s="17" t="n">
        <f aca="false">INT($D6/20)</f>
        <v>0</v>
      </c>
    </row>
    <row r="7" customFormat="false" ht="12.8" hidden="false" customHeight="false" outlineLevel="0" collapsed="false">
      <c r="A7" s="17" t="n">
        <v>5</v>
      </c>
      <c r="B7" s="32" t="n">
        <f aca="false">1+INT(LOG($A7,5)*2)</f>
        <v>3</v>
      </c>
      <c r="D7" s="17" t="n">
        <v>5</v>
      </c>
      <c r="E7" s="17" t="n">
        <f aca="false">INT($D7/20)</f>
        <v>0</v>
      </c>
    </row>
    <row r="8" customFormat="false" ht="12.8" hidden="false" customHeight="false" outlineLevel="0" collapsed="false">
      <c r="A8" s="17" t="n">
        <v>11</v>
      </c>
      <c r="B8" s="32" t="n">
        <f aca="false">1+INT(LOG($A8,5)*2)</f>
        <v>3</v>
      </c>
      <c r="D8" s="17" t="n">
        <v>6</v>
      </c>
      <c r="E8" s="17" t="n">
        <f aca="false">INT($D8/20)</f>
        <v>0</v>
      </c>
    </row>
    <row r="9" customFormat="false" ht="12.8" hidden="false" customHeight="false" outlineLevel="0" collapsed="false">
      <c r="A9" s="17" t="n">
        <v>12</v>
      </c>
      <c r="B9" s="32" t="n">
        <f aca="false">1+INT(LOG($A9,5)*2)</f>
        <v>4</v>
      </c>
      <c r="D9" s="17" t="n">
        <v>7</v>
      </c>
      <c r="E9" s="17" t="n">
        <f aca="false">INT($D9/20)</f>
        <v>0</v>
      </c>
    </row>
    <row r="10" customFormat="false" ht="12.8" hidden="false" customHeight="false" outlineLevel="0" collapsed="false">
      <c r="A10" s="17" t="n">
        <v>24</v>
      </c>
      <c r="B10" s="32" t="n">
        <f aca="false">1+INT(LOG($A10,5)*2)</f>
        <v>4</v>
      </c>
      <c r="D10" s="17" t="n">
        <v>8</v>
      </c>
      <c r="E10" s="17" t="n">
        <f aca="false">INT($D10/20)</f>
        <v>0</v>
      </c>
    </row>
    <row r="11" customFormat="false" ht="12.8" hidden="false" customHeight="false" outlineLevel="0" collapsed="false">
      <c r="A11" s="17" t="n">
        <v>25</v>
      </c>
      <c r="B11" s="32" t="n">
        <f aca="false">1+INT(LOG($A11,5)*2)</f>
        <v>5</v>
      </c>
      <c r="D11" s="17" t="n">
        <v>9</v>
      </c>
      <c r="E11" s="17" t="n">
        <f aca="false">INT($D11/20)</f>
        <v>0</v>
      </c>
    </row>
    <row r="12" customFormat="false" ht="12.8" hidden="false" customHeight="false" outlineLevel="0" collapsed="false">
      <c r="A12" s="17" t="n">
        <v>55</v>
      </c>
      <c r="B12" s="32" t="n">
        <f aca="false">1+INT(LOG($A12,5)*2)</f>
        <v>5</v>
      </c>
      <c r="D12" s="17" t="n">
        <v>10</v>
      </c>
      <c r="E12" s="17" t="n">
        <f aca="false">INT($D12/20)</f>
        <v>0</v>
      </c>
    </row>
    <row r="13" customFormat="false" ht="12.8" hidden="false" customHeight="false" outlineLevel="0" collapsed="false">
      <c r="A13" s="17" t="n">
        <v>56</v>
      </c>
      <c r="B13" s="32" t="n">
        <f aca="false">1+INT(LOG($A13,5)*2)</f>
        <v>6</v>
      </c>
      <c r="D13" s="17" t="n">
        <v>11</v>
      </c>
      <c r="E13" s="17" t="n">
        <f aca="false">INT($D13/20)</f>
        <v>0</v>
      </c>
    </row>
    <row r="14" customFormat="false" ht="12.8" hidden="false" customHeight="false" outlineLevel="0" collapsed="false">
      <c r="A14" s="17" t="n">
        <v>100</v>
      </c>
      <c r="B14" s="32" t="n">
        <f aca="false">1+INT(LOG($A14,5)*2)</f>
        <v>6</v>
      </c>
      <c r="D14" s="17" t="n">
        <v>12</v>
      </c>
      <c r="E14" s="17" t="n">
        <f aca="false">INT($D14/20)</f>
        <v>0</v>
      </c>
    </row>
    <row r="15" customFormat="false" ht="12.8" hidden="false" customHeight="false" outlineLevel="0" collapsed="false">
      <c r="A15" s="17" t="n">
        <v>124</v>
      </c>
      <c r="B15" s="32" t="n">
        <f aca="false">1+INT(LOG($A15,5)*2)</f>
        <v>6</v>
      </c>
      <c r="D15" s="17" t="n">
        <v>13</v>
      </c>
      <c r="E15" s="17" t="n">
        <f aca="false">INT($D15/20)</f>
        <v>0</v>
      </c>
    </row>
    <row r="16" customFormat="false" ht="12.8" hidden="false" customHeight="false" outlineLevel="0" collapsed="false">
      <c r="A16" s="17" t="n">
        <v>125</v>
      </c>
      <c r="B16" s="32" t="n">
        <f aca="false">1+INT(LOG($A16,5)*2)</f>
        <v>7</v>
      </c>
      <c r="D16" s="17" t="n">
        <v>14</v>
      </c>
      <c r="E16" s="17" t="n">
        <f aca="false">INT($D16/20)</f>
        <v>0</v>
      </c>
    </row>
    <row r="17" customFormat="false" ht="12.8" hidden="false" customHeight="false" outlineLevel="0" collapsed="false">
      <c r="A17" s="17" t="n">
        <v>150</v>
      </c>
      <c r="B17" s="32" t="n">
        <f aca="false">1+INT(LOG($A17,5)*2)</f>
        <v>7</v>
      </c>
      <c r="D17" s="17" t="n">
        <v>15</v>
      </c>
      <c r="E17" s="17" t="n">
        <f aca="false">INT($D17/20)</f>
        <v>0</v>
      </c>
    </row>
    <row r="18" customFormat="false" ht="12.8" hidden="false" customHeight="false" outlineLevel="0" collapsed="false">
      <c r="A18" s="17" t="n">
        <v>200</v>
      </c>
      <c r="B18" s="32" t="n">
        <f aca="false">1+INT(LOG($A18,5)*2)</f>
        <v>7</v>
      </c>
      <c r="D18" s="17" t="n">
        <v>16</v>
      </c>
      <c r="E18" s="17" t="n">
        <f aca="false">INT($D18/20)</f>
        <v>0</v>
      </c>
    </row>
    <row r="19" customFormat="false" ht="12.8" hidden="false" customHeight="false" outlineLevel="0" collapsed="false">
      <c r="A19" s="17" t="n">
        <v>250</v>
      </c>
      <c r="B19" s="32" t="n">
        <f aca="false">1+INT(LOG($A19,5)*2)</f>
        <v>7</v>
      </c>
      <c r="D19" s="17" t="n">
        <v>17</v>
      </c>
      <c r="E19" s="17" t="n">
        <f aca="false">INT($D19/20)</f>
        <v>0</v>
      </c>
    </row>
    <row r="20" customFormat="false" ht="12.8" hidden="false" customHeight="false" outlineLevel="0" collapsed="false">
      <c r="A20" s="17" t="n">
        <v>279</v>
      </c>
      <c r="B20" s="32" t="n">
        <f aca="false">1+INT(LOG($A20,5)*2)</f>
        <v>7</v>
      </c>
      <c r="D20" s="17" t="n">
        <v>18</v>
      </c>
      <c r="E20" s="17" t="n">
        <f aca="false">INT($D20/20)</f>
        <v>0</v>
      </c>
    </row>
    <row r="21" customFormat="false" ht="12.8" hidden="false" customHeight="false" outlineLevel="0" collapsed="false">
      <c r="A21" s="17" t="n">
        <v>280</v>
      </c>
      <c r="B21" s="32" t="n">
        <f aca="false">1+INT(LOG($A21,5)*2)</f>
        <v>8</v>
      </c>
      <c r="D21" s="17" t="n">
        <v>19</v>
      </c>
      <c r="E21" s="17" t="n">
        <f aca="false">INT($D21/20)</f>
        <v>0</v>
      </c>
    </row>
    <row r="22" customFormat="false" ht="12.8" hidden="false" customHeight="false" outlineLevel="0" collapsed="false">
      <c r="A22" s="17" t="n">
        <v>290</v>
      </c>
      <c r="B22" s="32" t="n">
        <f aca="false">1+INT(LOG($A22,5)*2)</f>
        <v>8</v>
      </c>
      <c r="D22" s="17" t="n">
        <v>20</v>
      </c>
      <c r="E22" s="17" t="n">
        <f aca="false">INT($D22/20)</f>
        <v>1</v>
      </c>
    </row>
    <row r="23" customFormat="false" ht="12.8" hidden="false" customHeight="false" outlineLevel="0" collapsed="false">
      <c r="A23" s="17" t="n">
        <v>300</v>
      </c>
      <c r="B23" s="32" t="n">
        <f aca="false">1+INT(LOG($A23,5)*2)</f>
        <v>8</v>
      </c>
      <c r="D23" s="17" t="n">
        <v>21</v>
      </c>
      <c r="E23" s="17" t="n">
        <f aca="false">INT($D23/20)</f>
        <v>1</v>
      </c>
    </row>
    <row r="24" customFormat="false" ht="12.8" hidden="false" customHeight="false" outlineLevel="0" collapsed="false">
      <c r="D24" s="17" t="n">
        <v>22</v>
      </c>
      <c r="E24" s="17" t="n">
        <f aca="false">INT($D24/20)</f>
        <v>1</v>
      </c>
    </row>
    <row r="25" customFormat="false" ht="12.8" hidden="false" customHeight="false" outlineLevel="0" collapsed="false">
      <c r="D25" s="17" t="n">
        <v>23</v>
      </c>
      <c r="E25" s="17" t="n">
        <f aca="false">INT($D25/20)</f>
        <v>1</v>
      </c>
    </row>
    <row r="26" customFormat="false" ht="12.8" hidden="false" customHeight="false" outlineLevel="0" collapsed="false">
      <c r="D26" s="17" t="n">
        <v>24</v>
      </c>
      <c r="E26" s="17" t="n">
        <f aca="false">INT($D26/20)</f>
        <v>1</v>
      </c>
    </row>
    <row r="27" customFormat="false" ht="12.8" hidden="false" customHeight="false" outlineLevel="0" collapsed="false">
      <c r="D27" s="17" t="n">
        <v>25</v>
      </c>
      <c r="E27" s="17" t="n">
        <f aca="false">INT($D27/20)</f>
        <v>1</v>
      </c>
    </row>
    <row r="28" customFormat="false" ht="12.8" hidden="false" customHeight="false" outlineLevel="0" collapsed="false">
      <c r="D28" s="17" t="n">
        <v>26</v>
      </c>
      <c r="E28" s="17" t="n">
        <f aca="false">INT($D28/20)</f>
        <v>1</v>
      </c>
    </row>
    <row r="29" customFormat="false" ht="12.8" hidden="false" customHeight="false" outlineLevel="0" collapsed="false">
      <c r="D29" s="17" t="n">
        <v>27</v>
      </c>
      <c r="E29" s="17" t="n">
        <f aca="false">INT($D29/20)</f>
        <v>1</v>
      </c>
    </row>
    <row r="30" customFormat="false" ht="12.8" hidden="false" customHeight="false" outlineLevel="0" collapsed="false">
      <c r="D30" s="17" t="n">
        <v>28</v>
      </c>
      <c r="E30" s="17" t="n">
        <f aca="false">INT($D30/20)</f>
        <v>1</v>
      </c>
    </row>
    <row r="31" customFormat="false" ht="12.8" hidden="false" customHeight="false" outlineLevel="0" collapsed="false">
      <c r="D31" s="17" t="n">
        <v>29</v>
      </c>
      <c r="E31" s="17" t="n">
        <f aca="false">INT($D31/20)</f>
        <v>1</v>
      </c>
    </row>
    <row r="32" customFormat="false" ht="12.8" hidden="false" customHeight="false" outlineLevel="0" collapsed="false">
      <c r="D32" s="17" t="n">
        <v>30</v>
      </c>
      <c r="E32" s="17" t="n">
        <f aca="false">INT($D32/20)</f>
        <v>1</v>
      </c>
    </row>
    <row r="33" customFormat="false" ht="12.8" hidden="false" customHeight="false" outlineLevel="0" collapsed="false">
      <c r="D33" s="17" t="n">
        <v>31</v>
      </c>
      <c r="E33" s="17" t="n">
        <f aca="false">INT($D33/20)</f>
        <v>1</v>
      </c>
    </row>
    <row r="34" customFormat="false" ht="12.8" hidden="false" customHeight="false" outlineLevel="0" collapsed="false">
      <c r="D34" s="17" t="n">
        <v>32</v>
      </c>
      <c r="E34" s="17" t="n">
        <f aca="false">INT($D34/20)</f>
        <v>1</v>
      </c>
    </row>
    <row r="35" customFormat="false" ht="12.8" hidden="false" customHeight="false" outlineLevel="0" collapsed="false">
      <c r="D35" s="17" t="n">
        <v>33</v>
      </c>
      <c r="E35" s="17" t="n">
        <f aca="false">INT($D35/20)</f>
        <v>1</v>
      </c>
    </row>
    <row r="36" customFormat="false" ht="12.8" hidden="false" customHeight="false" outlineLevel="0" collapsed="false">
      <c r="D36" s="17" t="n">
        <v>34</v>
      </c>
      <c r="E36" s="17" t="n">
        <f aca="false">INT($D36/20)</f>
        <v>1</v>
      </c>
    </row>
    <row r="37" customFormat="false" ht="12.8" hidden="false" customHeight="false" outlineLevel="0" collapsed="false">
      <c r="D37" s="17" t="n">
        <v>35</v>
      </c>
      <c r="E37" s="17" t="n">
        <f aca="false">INT($D37/20)</f>
        <v>1</v>
      </c>
    </row>
    <row r="38" customFormat="false" ht="12.8" hidden="false" customHeight="false" outlineLevel="0" collapsed="false">
      <c r="D38" s="17" t="n">
        <v>36</v>
      </c>
      <c r="E38" s="17" t="n">
        <f aca="false">INT($D38/20)</f>
        <v>1</v>
      </c>
    </row>
    <row r="39" customFormat="false" ht="12.8" hidden="false" customHeight="false" outlineLevel="0" collapsed="false">
      <c r="D39" s="17" t="n">
        <v>37</v>
      </c>
      <c r="E39" s="17" t="n">
        <f aca="false">INT($D39/20)</f>
        <v>1</v>
      </c>
    </row>
    <row r="40" customFormat="false" ht="12.8" hidden="false" customHeight="false" outlineLevel="0" collapsed="false">
      <c r="D40" s="17" t="n">
        <v>38</v>
      </c>
      <c r="E40" s="17" t="n">
        <f aca="false">INT($D40/20)</f>
        <v>1</v>
      </c>
    </row>
    <row r="41" customFormat="false" ht="12.8" hidden="false" customHeight="false" outlineLevel="0" collapsed="false">
      <c r="D41" s="17" t="n">
        <v>39</v>
      </c>
      <c r="E41" s="17" t="n">
        <f aca="false">INT($D41/20)</f>
        <v>1</v>
      </c>
    </row>
    <row r="42" customFormat="false" ht="12.8" hidden="false" customHeight="false" outlineLevel="0" collapsed="false">
      <c r="D42" s="17" t="n">
        <v>40</v>
      </c>
      <c r="E42" s="17" t="n">
        <f aca="false">INT($D42/20)</f>
        <v>2</v>
      </c>
    </row>
    <row r="43" customFormat="false" ht="12.8" hidden="false" customHeight="false" outlineLevel="0" collapsed="false">
      <c r="D43" s="17" t="n">
        <v>41</v>
      </c>
      <c r="E43" s="17" t="n">
        <f aca="false">INT($D43/20)</f>
        <v>2</v>
      </c>
    </row>
    <row r="44" customFormat="false" ht="12.8" hidden="false" customHeight="false" outlineLevel="0" collapsed="false">
      <c r="D44" s="17" t="n">
        <v>42</v>
      </c>
      <c r="E44" s="17" t="n">
        <f aca="false">INT($D44/20)</f>
        <v>2</v>
      </c>
    </row>
    <row r="45" customFormat="false" ht="12.8" hidden="false" customHeight="false" outlineLevel="0" collapsed="false">
      <c r="D45" s="17" t="n">
        <v>43</v>
      </c>
      <c r="E45" s="17" t="n">
        <f aca="false">INT($D45/20)</f>
        <v>2</v>
      </c>
    </row>
    <row r="46" customFormat="false" ht="12.8" hidden="false" customHeight="false" outlineLevel="0" collapsed="false">
      <c r="D46" s="17" t="n">
        <v>44</v>
      </c>
      <c r="E46" s="17" t="n">
        <f aca="false">INT($D46/20)</f>
        <v>2</v>
      </c>
    </row>
    <row r="47" customFormat="false" ht="12.8" hidden="false" customHeight="false" outlineLevel="0" collapsed="false">
      <c r="D47" s="17" t="n">
        <v>45</v>
      </c>
      <c r="E47" s="17" t="n">
        <f aca="false">INT($D47/20)</f>
        <v>2</v>
      </c>
    </row>
    <row r="48" customFormat="false" ht="12.8" hidden="false" customHeight="false" outlineLevel="0" collapsed="false">
      <c r="D48" s="17" t="n">
        <v>46</v>
      </c>
      <c r="E48" s="17" t="n">
        <f aca="false">INT($D48/20)</f>
        <v>2</v>
      </c>
    </row>
    <row r="49" customFormat="false" ht="12.8" hidden="false" customHeight="false" outlineLevel="0" collapsed="false">
      <c r="D49" s="17" t="n">
        <v>47</v>
      </c>
      <c r="E49" s="17" t="n">
        <f aca="false">INT($D49/20)</f>
        <v>2</v>
      </c>
    </row>
    <row r="50" customFormat="false" ht="12.8" hidden="false" customHeight="false" outlineLevel="0" collapsed="false">
      <c r="D50" s="17" t="n">
        <v>48</v>
      </c>
      <c r="E50" s="17" t="n">
        <f aca="false">INT($D50/20)</f>
        <v>2</v>
      </c>
    </row>
    <row r="51" customFormat="false" ht="12.8" hidden="false" customHeight="false" outlineLevel="0" collapsed="false">
      <c r="D51" s="17" t="n">
        <v>49</v>
      </c>
      <c r="E51" s="17" t="n">
        <f aca="false">INT($D51/20)</f>
        <v>2</v>
      </c>
    </row>
    <row r="52" customFormat="false" ht="12.8" hidden="false" customHeight="false" outlineLevel="0" collapsed="false">
      <c r="D52" s="17" t="n">
        <v>50</v>
      </c>
      <c r="E52" s="17" t="n">
        <f aca="false">INT($D52/20)</f>
        <v>2</v>
      </c>
    </row>
    <row r="53" customFormat="false" ht="12.8" hidden="false" customHeight="false" outlineLevel="0" collapsed="false">
      <c r="D53" s="17" t="n">
        <v>51</v>
      </c>
      <c r="E53" s="17" t="n">
        <f aca="false">INT($D53/20)</f>
        <v>2</v>
      </c>
    </row>
    <row r="54" customFormat="false" ht="12.8" hidden="false" customHeight="false" outlineLevel="0" collapsed="false">
      <c r="D54" s="17" t="n">
        <v>52</v>
      </c>
      <c r="E54" s="17" t="n">
        <f aca="false">INT($D54/20)</f>
        <v>2</v>
      </c>
    </row>
    <row r="55" customFormat="false" ht="12.8" hidden="false" customHeight="false" outlineLevel="0" collapsed="false">
      <c r="D55" s="17" t="n">
        <v>53</v>
      </c>
      <c r="E55" s="17" t="n">
        <f aca="false">INT($D55/20)</f>
        <v>2</v>
      </c>
    </row>
    <row r="56" customFormat="false" ht="12.8" hidden="false" customHeight="false" outlineLevel="0" collapsed="false">
      <c r="D56" s="17" t="n">
        <v>54</v>
      </c>
      <c r="E56" s="17" t="n">
        <f aca="false">INT($D56/20)</f>
        <v>2</v>
      </c>
    </row>
    <row r="57" customFormat="false" ht="12.8" hidden="false" customHeight="false" outlineLevel="0" collapsed="false">
      <c r="D57" s="17" t="n">
        <v>55</v>
      </c>
      <c r="E57" s="17" t="n">
        <f aca="false">INT($D57/20)</f>
        <v>2</v>
      </c>
    </row>
    <row r="58" customFormat="false" ht="12.8" hidden="false" customHeight="false" outlineLevel="0" collapsed="false">
      <c r="D58" s="17" t="n">
        <v>56</v>
      </c>
      <c r="E58" s="17" t="n">
        <f aca="false">INT($D58/20)</f>
        <v>2</v>
      </c>
    </row>
    <row r="59" customFormat="false" ht="12.8" hidden="false" customHeight="false" outlineLevel="0" collapsed="false">
      <c r="D59" s="17" t="n">
        <v>57</v>
      </c>
      <c r="E59" s="17" t="n">
        <f aca="false">INT($D59/20)</f>
        <v>2</v>
      </c>
    </row>
    <row r="60" customFormat="false" ht="12.8" hidden="false" customHeight="false" outlineLevel="0" collapsed="false">
      <c r="D60" s="17" t="n">
        <v>58</v>
      </c>
      <c r="E60" s="17" t="n">
        <f aca="false">INT($D60/20)</f>
        <v>2</v>
      </c>
    </row>
    <row r="61" customFormat="false" ht="12.8" hidden="false" customHeight="false" outlineLevel="0" collapsed="false">
      <c r="D61" s="17" t="n">
        <v>59</v>
      </c>
      <c r="E61" s="17" t="n">
        <f aca="false">INT($D61/20)</f>
        <v>2</v>
      </c>
    </row>
    <row r="62" customFormat="false" ht="12.8" hidden="false" customHeight="false" outlineLevel="0" collapsed="false">
      <c r="D62" s="17" t="n">
        <v>60</v>
      </c>
      <c r="E62" s="17" t="n">
        <f aca="false">INT($D62/20)</f>
        <v>3</v>
      </c>
    </row>
    <row r="63" customFormat="false" ht="12.8" hidden="false" customHeight="false" outlineLevel="0" collapsed="false">
      <c r="D63" s="17" t="n">
        <v>61</v>
      </c>
      <c r="E63" s="17" t="n">
        <f aca="false">INT($D63/20)</f>
        <v>3</v>
      </c>
    </row>
    <row r="64" customFormat="false" ht="12.8" hidden="false" customHeight="false" outlineLevel="0" collapsed="false">
      <c r="D64" s="17" t="n">
        <v>62</v>
      </c>
      <c r="E64" s="17" t="n">
        <f aca="false">INT($D64/20)</f>
        <v>3</v>
      </c>
    </row>
    <row r="65" customFormat="false" ht="12.8" hidden="false" customHeight="false" outlineLevel="0" collapsed="false">
      <c r="D65" s="17" t="n">
        <v>63</v>
      </c>
      <c r="E65" s="17" t="n">
        <f aca="false">INT($D65/20)</f>
        <v>3</v>
      </c>
    </row>
    <row r="66" customFormat="false" ht="12.8" hidden="false" customHeight="false" outlineLevel="0" collapsed="false">
      <c r="D66" s="17" t="n">
        <v>64</v>
      </c>
      <c r="E66" s="17" t="n">
        <f aca="false">INT($D66/20)</f>
        <v>3</v>
      </c>
    </row>
    <row r="67" customFormat="false" ht="12.8" hidden="false" customHeight="false" outlineLevel="0" collapsed="false">
      <c r="D67" s="17" t="n">
        <v>65</v>
      </c>
      <c r="E67" s="17" t="n">
        <f aca="false">INT($D67/20)</f>
        <v>3</v>
      </c>
    </row>
    <row r="68" customFormat="false" ht="12.8" hidden="false" customHeight="false" outlineLevel="0" collapsed="false">
      <c r="D68" s="17" t="n">
        <v>66</v>
      </c>
      <c r="E68" s="17" t="n">
        <f aca="false">INT($D68/20)</f>
        <v>3</v>
      </c>
    </row>
    <row r="69" customFormat="false" ht="12.8" hidden="false" customHeight="false" outlineLevel="0" collapsed="false">
      <c r="D69" s="17" t="n">
        <v>67</v>
      </c>
      <c r="E69" s="17" t="n">
        <f aca="false">INT($D69/20)</f>
        <v>3</v>
      </c>
    </row>
    <row r="70" customFormat="false" ht="12.8" hidden="false" customHeight="false" outlineLevel="0" collapsed="false">
      <c r="D70" s="17" t="n">
        <v>68</v>
      </c>
      <c r="E70" s="17" t="n">
        <f aca="false">INT($D70/20)</f>
        <v>3</v>
      </c>
    </row>
    <row r="71" customFormat="false" ht="12.8" hidden="false" customHeight="false" outlineLevel="0" collapsed="false">
      <c r="D71" s="17" t="n">
        <v>69</v>
      </c>
      <c r="E71" s="17" t="n">
        <f aca="false">INT($D71/20)</f>
        <v>3</v>
      </c>
    </row>
    <row r="72" customFormat="false" ht="12.8" hidden="false" customHeight="false" outlineLevel="0" collapsed="false">
      <c r="D72" s="17" t="n">
        <v>70</v>
      </c>
      <c r="E72" s="17" t="n">
        <f aca="false">INT($D72/20)</f>
        <v>3</v>
      </c>
    </row>
    <row r="73" customFormat="false" ht="12.8" hidden="false" customHeight="false" outlineLevel="0" collapsed="false">
      <c r="D73" s="17" t="n">
        <v>71</v>
      </c>
      <c r="E73" s="17" t="n">
        <f aca="false">INT($D73/20)</f>
        <v>3</v>
      </c>
    </row>
    <row r="74" customFormat="false" ht="12.8" hidden="false" customHeight="false" outlineLevel="0" collapsed="false">
      <c r="D74" s="17" t="n">
        <v>72</v>
      </c>
      <c r="E74" s="17" t="n">
        <f aca="false">INT($D74/20)</f>
        <v>3</v>
      </c>
    </row>
    <row r="75" customFormat="false" ht="12.8" hidden="false" customHeight="false" outlineLevel="0" collapsed="false">
      <c r="D75" s="17" t="n">
        <v>73</v>
      </c>
      <c r="E75" s="17" t="n">
        <f aca="false">INT($D75/20)</f>
        <v>3</v>
      </c>
    </row>
    <row r="76" customFormat="false" ht="12.8" hidden="false" customHeight="false" outlineLevel="0" collapsed="false">
      <c r="D76" s="17" t="n">
        <v>74</v>
      </c>
      <c r="E76" s="17" t="n">
        <f aca="false">INT($D76/20)</f>
        <v>3</v>
      </c>
    </row>
    <row r="77" customFormat="false" ht="12.8" hidden="false" customHeight="false" outlineLevel="0" collapsed="false">
      <c r="D77" s="17" t="n">
        <v>75</v>
      </c>
      <c r="E77" s="17" t="n">
        <f aca="false">INT($D77/20)</f>
        <v>3</v>
      </c>
    </row>
    <row r="78" customFormat="false" ht="12.8" hidden="false" customHeight="false" outlineLevel="0" collapsed="false">
      <c r="D78" s="17" t="n">
        <v>76</v>
      </c>
      <c r="E78" s="17" t="n">
        <f aca="false">INT($D78/20)</f>
        <v>3</v>
      </c>
    </row>
    <row r="79" customFormat="false" ht="12.8" hidden="false" customHeight="false" outlineLevel="0" collapsed="false">
      <c r="D79" s="17" t="n">
        <v>77</v>
      </c>
      <c r="E79" s="17" t="n">
        <f aca="false">INT($D79/20)</f>
        <v>3</v>
      </c>
    </row>
    <row r="80" customFormat="false" ht="12.8" hidden="false" customHeight="false" outlineLevel="0" collapsed="false">
      <c r="D80" s="17" t="n">
        <v>78</v>
      </c>
      <c r="E80" s="17" t="n">
        <f aca="false">INT($D80/20)</f>
        <v>3</v>
      </c>
    </row>
    <row r="81" customFormat="false" ht="12.8" hidden="false" customHeight="false" outlineLevel="0" collapsed="false">
      <c r="D81" s="17" t="n">
        <v>79</v>
      </c>
      <c r="E81" s="17" t="n">
        <f aca="false">INT($D81/20)</f>
        <v>3</v>
      </c>
    </row>
    <row r="82" customFormat="false" ht="12.8" hidden="false" customHeight="false" outlineLevel="0" collapsed="false">
      <c r="D82" s="17" t="n">
        <v>80</v>
      </c>
      <c r="E82" s="17" t="n">
        <f aca="false">INT($D82/20)</f>
        <v>4</v>
      </c>
    </row>
    <row r="83" customFormat="false" ht="12.8" hidden="false" customHeight="false" outlineLevel="0" collapsed="false">
      <c r="D83" s="17" t="n">
        <v>81</v>
      </c>
      <c r="E83" s="17" t="n">
        <f aca="false">INT($D83/20)</f>
        <v>4</v>
      </c>
    </row>
    <row r="84" customFormat="false" ht="12.8" hidden="false" customHeight="false" outlineLevel="0" collapsed="false">
      <c r="D84" s="17" t="n">
        <v>82</v>
      </c>
      <c r="E84" s="17" t="n">
        <f aca="false">INT($D84/20)</f>
        <v>4</v>
      </c>
    </row>
    <row r="85" customFormat="false" ht="12.8" hidden="false" customHeight="false" outlineLevel="0" collapsed="false">
      <c r="D85" s="17" t="n">
        <v>83</v>
      </c>
      <c r="E85" s="17" t="n">
        <f aca="false">INT($D85/20)</f>
        <v>4</v>
      </c>
    </row>
    <row r="86" customFormat="false" ht="12.8" hidden="false" customHeight="false" outlineLevel="0" collapsed="false">
      <c r="D86" s="17" t="n">
        <v>84</v>
      </c>
      <c r="E86" s="17" t="n">
        <f aca="false">INT($D86/20)</f>
        <v>4</v>
      </c>
    </row>
    <row r="87" customFormat="false" ht="12.8" hidden="false" customHeight="false" outlineLevel="0" collapsed="false">
      <c r="D87" s="17" t="n">
        <v>85</v>
      </c>
      <c r="E87" s="17" t="n">
        <f aca="false">INT($D87/20)</f>
        <v>4</v>
      </c>
    </row>
    <row r="88" customFormat="false" ht="12.8" hidden="false" customHeight="false" outlineLevel="0" collapsed="false">
      <c r="D88" s="17" t="n">
        <v>86</v>
      </c>
      <c r="E88" s="17" t="n">
        <f aca="false">INT($D88/20)</f>
        <v>4</v>
      </c>
    </row>
    <row r="89" customFormat="false" ht="12.8" hidden="false" customHeight="false" outlineLevel="0" collapsed="false">
      <c r="D89" s="17" t="n">
        <v>87</v>
      </c>
      <c r="E89" s="17" t="n">
        <f aca="false">INT($D89/20)</f>
        <v>4</v>
      </c>
    </row>
    <row r="90" customFormat="false" ht="12.8" hidden="false" customHeight="false" outlineLevel="0" collapsed="false">
      <c r="D90" s="17" t="n">
        <v>88</v>
      </c>
      <c r="E90" s="17" t="n">
        <f aca="false">INT($D90/20)</f>
        <v>4</v>
      </c>
    </row>
    <row r="91" customFormat="false" ht="12.8" hidden="false" customHeight="false" outlineLevel="0" collapsed="false">
      <c r="D91" s="17" t="n">
        <v>89</v>
      </c>
      <c r="E91" s="17" t="n">
        <f aca="false">INT($D91/20)</f>
        <v>4</v>
      </c>
    </row>
    <row r="92" customFormat="false" ht="12.8" hidden="false" customHeight="false" outlineLevel="0" collapsed="false">
      <c r="D92" s="17" t="n">
        <v>90</v>
      </c>
      <c r="E92" s="17" t="n">
        <f aca="false">INT($D92/20)</f>
        <v>4</v>
      </c>
    </row>
    <row r="93" customFormat="false" ht="12.8" hidden="false" customHeight="false" outlineLevel="0" collapsed="false">
      <c r="D93" s="17" t="n">
        <v>91</v>
      </c>
      <c r="E93" s="17" t="n">
        <f aca="false">INT($D93/20)</f>
        <v>4</v>
      </c>
    </row>
    <row r="94" customFormat="false" ht="12.8" hidden="false" customHeight="false" outlineLevel="0" collapsed="false">
      <c r="D94" s="17" t="n">
        <v>92</v>
      </c>
      <c r="E94" s="17" t="n">
        <f aca="false">INT($D94/20)</f>
        <v>4</v>
      </c>
    </row>
    <row r="95" customFormat="false" ht="12.8" hidden="false" customHeight="false" outlineLevel="0" collapsed="false">
      <c r="D95" s="17" t="n">
        <v>93</v>
      </c>
      <c r="E95" s="17" t="n">
        <f aca="false">INT($D95/20)</f>
        <v>4</v>
      </c>
    </row>
    <row r="96" customFormat="false" ht="12.8" hidden="false" customHeight="false" outlineLevel="0" collapsed="false">
      <c r="D96" s="17" t="n">
        <v>94</v>
      </c>
      <c r="E96" s="17" t="n">
        <f aca="false">INT($D96/20)</f>
        <v>4</v>
      </c>
    </row>
    <row r="97" customFormat="false" ht="12.8" hidden="false" customHeight="false" outlineLevel="0" collapsed="false">
      <c r="D97" s="17" t="n">
        <v>95</v>
      </c>
      <c r="E97" s="17" t="n">
        <f aca="false">INT($D97/20)</f>
        <v>4</v>
      </c>
    </row>
    <row r="98" customFormat="false" ht="12.8" hidden="false" customHeight="false" outlineLevel="0" collapsed="false">
      <c r="D98" s="17" t="n">
        <v>96</v>
      </c>
      <c r="E98" s="17" t="n">
        <f aca="false">INT($D98/20)</f>
        <v>4</v>
      </c>
    </row>
    <row r="99" customFormat="false" ht="12.8" hidden="false" customHeight="false" outlineLevel="0" collapsed="false">
      <c r="D99" s="17" t="n">
        <v>97</v>
      </c>
      <c r="E99" s="17" t="n">
        <f aca="false">INT($D99/20)</f>
        <v>4</v>
      </c>
    </row>
    <row r="100" customFormat="false" ht="12.8" hidden="false" customHeight="false" outlineLevel="0" collapsed="false">
      <c r="D100" s="17" t="n">
        <v>98</v>
      </c>
      <c r="E100" s="17" t="n">
        <f aca="false">INT($D100/20)</f>
        <v>4</v>
      </c>
    </row>
    <row r="101" customFormat="false" ht="12.8" hidden="false" customHeight="false" outlineLevel="0" collapsed="false">
      <c r="D101" s="17" t="n">
        <v>99</v>
      </c>
      <c r="E101" s="17" t="n">
        <f aca="false">INT($D101/20)</f>
        <v>4</v>
      </c>
    </row>
    <row r="102" customFormat="false" ht="12.8" hidden="false" customHeight="false" outlineLevel="0" collapsed="false">
      <c r="D102" s="17" t="n">
        <v>100</v>
      </c>
      <c r="E102" s="17" t="n">
        <f aca="false">INT($D102/20)</f>
        <v>5</v>
      </c>
    </row>
    <row r="103" customFormat="false" ht="12.8" hidden="false" customHeight="false" outlineLevel="0" collapsed="false">
      <c r="D103" s="17" t="n">
        <v>101</v>
      </c>
      <c r="E103" s="17" t="n">
        <f aca="false">INT($D103/20)</f>
        <v>5</v>
      </c>
    </row>
    <row r="104" customFormat="false" ht="12.8" hidden="false" customHeight="false" outlineLevel="0" collapsed="false">
      <c r="D104" s="17" t="n">
        <v>102</v>
      </c>
      <c r="E104" s="17" t="n">
        <f aca="false">INT($D104/20)</f>
        <v>5</v>
      </c>
    </row>
    <row r="105" customFormat="false" ht="12.8" hidden="false" customHeight="false" outlineLevel="0" collapsed="false">
      <c r="D105" s="17" t="n">
        <v>103</v>
      </c>
      <c r="E105" s="17" t="n">
        <f aca="false">INT($D105/20)</f>
        <v>5</v>
      </c>
    </row>
    <row r="106" customFormat="false" ht="12.8" hidden="false" customHeight="false" outlineLevel="0" collapsed="false">
      <c r="D106" s="17" t="n">
        <v>104</v>
      </c>
      <c r="E106" s="17" t="n">
        <f aca="false">INT($D106/20)</f>
        <v>5</v>
      </c>
    </row>
    <row r="107" customFormat="false" ht="12.8" hidden="false" customHeight="false" outlineLevel="0" collapsed="false">
      <c r="D107" s="17" t="n">
        <v>105</v>
      </c>
      <c r="E107" s="17" t="n">
        <f aca="false">INT($D107/20)</f>
        <v>5</v>
      </c>
    </row>
    <row r="108" customFormat="false" ht="12.8" hidden="false" customHeight="false" outlineLevel="0" collapsed="false">
      <c r="D108" s="17" t="n">
        <v>106</v>
      </c>
      <c r="E108" s="17" t="n">
        <f aca="false">INT($D108/20)</f>
        <v>5</v>
      </c>
    </row>
    <row r="109" customFormat="false" ht="12.8" hidden="false" customHeight="false" outlineLevel="0" collapsed="false">
      <c r="D109" s="17" t="n">
        <v>107</v>
      </c>
      <c r="E109" s="17" t="n">
        <f aca="false">INT($D109/20)</f>
        <v>5</v>
      </c>
    </row>
    <row r="110" customFormat="false" ht="12.8" hidden="false" customHeight="false" outlineLevel="0" collapsed="false">
      <c r="D110" s="17" t="n">
        <v>108</v>
      </c>
      <c r="E110" s="17" t="n">
        <f aca="false">INT($D110/20)</f>
        <v>5</v>
      </c>
    </row>
    <row r="111" customFormat="false" ht="12.8" hidden="false" customHeight="false" outlineLevel="0" collapsed="false">
      <c r="D111" s="17" t="n">
        <v>109</v>
      </c>
      <c r="E111" s="17" t="n">
        <f aca="false">INT($D111/20)</f>
        <v>5</v>
      </c>
    </row>
    <row r="112" customFormat="false" ht="12.8" hidden="false" customHeight="false" outlineLevel="0" collapsed="false">
      <c r="D112" s="17" t="n">
        <v>110</v>
      </c>
      <c r="E112" s="17" t="n">
        <f aca="false">INT($D112/20)</f>
        <v>5</v>
      </c>
    </row>
    <row r="113" customFormat="false" ht="12.8" hidden="false" customHeight="false" outlineLevel="0" collapsed="false">
      <c r="D113" s="17" t="n">
        <v>111</v>
      </c>
      <c r="E113" s="17" t="n">
        <f aca="false">INT($D113/20)</f>
        <v>5</v>
      </c>
    </row>
    <row r="114" customFormat="false" ht="12.8" hidden="false" customHeight="false" outlineLevel="0" collapsed="false">
      <c r="D114" s="17" t="n">
        <v>112</v>
      </c>
      <c r="E114" s="17" t="n">
        <f aca="false">INT($D114/20)</f>
        <v>5</v>
      </c>
    </row>
    <row r="115" customFormat="false" ht="12.8" hidden="false" customHeight="false" outlineLevel="0" collapsed="false">
      <c r="D115" s="17" t="n">
        <v>113</v>
      </c>
      <c r="E115" s="17" t="n">
        <f aca="false">INT($D115/20)</f>
        <v>5</v>
      </c>
    </row>
    <row r="116" customFormat="false" ht="12.8" hidden="false" customHeight="false" outlineLevel="0" collapsed="false">
      <c r="D116" s="17" t="n">
        <v>114</v>
      </c>
      <c r="E116" s="17" t="n">
        <f aca="false">INT($D116/20)</f>
        <v>5</v>
      </c>
    </row>
    <row r="117" customFormat="false" ht="12.8" hidden="false" customHeight="false" outlineLevel="0" collapsed="false">
      <c r="D117" s="17" t="n">
        <v>115</v>
      </c>
      <c r="E117" s="17" t="n">
        <f aca="false">INT($D117/20)</f>
        <v>5</v>
      </c>
    </row>
    <row r="118" customFormat="false" ht="12.8" hidden="false" customHeight="false" outlineLevel="0" collapsed="false">
      <c r="D118" s="17" t="n">
        <v>116</v>
      </c>
      <c r="E118" s="17" t="n">
        <f aca="false">INT($D118/20)</f>
        <v>5</v>
      </c>
    </row>
    <row r="119" customFormat="false" ht="12.8" hidden="false" customHeight="false" outlineLevel="0" collapsed="false">
      <c r="D119" s="17" t="n">
        <v>117</v>
      </c>
      <c r="E119" s="17" t="n">
        <f aca="false">INT($D119/20)</f>
        <v>5</v>
      </c>
    </row>
    <row r="120" customFormat="false" ht="12.8" hidden="false" customHeight="false" outlineLevel="0" collapsed="false">
      <c r="D120" s="17" t="n">
        <v>118</v>
      </c>
      <c r="E120" s="17" t="n">
        <f aca="false">INT($D120/20)</f>
        <v>5</v>
      </c>
    </row>
    <row r="121" customFormat="false" ht="12.8" hidden="false" customHeight="false" outlineLevel="0" collapsed="false">
      <c r="D121" s="17" t="n">
        <v>119</v>
      </c>
      <c r="E121" s="17" t="n">
        <f aca="false">INT($D121/20)</f>
        <v>5</v>
      </c>
    </row>
    <row r="122" customFormat="false" ht="12.8" hidden="false" customHeight="false" outlineLevel="0" collapsed="false">
      <c r="D122" s="17" t="n">
        <v>120</v>
      </c>
      <c r="E122" s="17" t="n">
        <f aca="false">INT($D122/20)</f>
        <v>6</v>
      </c>
    </row>
    <row r="123" customFormat="false" ht="12.8" hidden="false" customHeight="false" outlineLevel="0" collapsed="false">
      <c r="D123" s="17" t="n">
        <v>121</v>
      </c>
      <c r="E123" s="17" t="n">
        <f aca="false">INT($D123/20)</f>
        <v>6</v>
      </c>
    </row>
    <row r="124" customFormat="false" ht="12.8" hidden="false" customHeight="false" outlineLevel="0" collapsed="false">
      <c r="D124" s="17" t="n">
        <v>122</v>
      </c>
      <c r="E124" s="17" t="n">
        <f aca="false">INT($D124/20)</f>
        <v>6</v>
      </c>
    </row>
    <row r="125" customFormat="false" ht="12.8" hidden="false" customHeight="false" outlineLevel="0" collapsed="false">
      <c r="D125" s="17" t="n">
        <v>123</v>
      </c>
      <c r="E125" s="17" t="n">
        <f aca="false">INT($D125/20)</f>
        <v>6</v>
      </c>
    </row>
    <row r="126" customFormat="false" ht="12.8" hidden="false" customHeight="false" outlineLevel="0" collapsed="false">
      <c r="D126" s="17" t="n">
        <v>124</v>
      </c>
      <c r="E126" s="17" t="n">
        <f aca="false">INT($D126/20)</f>
        <v>6</v>
      </c>
    </row>
    <row r="127" customFormat="false" ht="12.8" hidden="false" customHeight="false" outlineLevel="0" collapsed="false">
      <c r="D127" s="17" t="n">
        <v>125</v>
      </c>
      <c r="E127" s="17" t="n">
        <f aca="false">INT($D127/20)</f>
        <v>6</v>
      </c>
    </row>
    <row r="128" customFormat="false" ht="12.8" hidden="false" customHeight="false" outlineLevel="0" collapsed="false">
      <c r="D128" s="17" t="n">
        <v>126</v>
      </c>
      <c r="E128" s="17" t="n">
        <f aca="false">INT($D128/20)</f>
        <v>6</v>
      </c>
    </row>
    <row r="129" customFormat="false" ht="12.8" hidden="false" customHeight="false" outlineLevel="0" collapsed="false">
      <c r="D129" s="17" t="n">
        <v>127</v>
      </c>
      <c r="E129" s="17" t="n">
        <f aca="false">INT($D129/20)</f>
        <v>6</v>
      </c>
    </row>
    <row r="130" customFormat="false" ht="12.8" hidden="false" customHeight="false" outlineLevel="0" collapsed="false">
      <c r="D130" s="17" t="n">
        <v>128</v>
      </c>
      <c r="E130" s="17" t="n">
        <f aca="false">INT($D130/20)</f>
        <v>6</v>
      </c>
    </row>
    <row r="131" customFormat="false" ht="12.8" hidden="false" customHeight="false" outlineLevel="0" collapsed="false">
      <c r="D131" s="17" t="n">
        <v>129</v>
      </c>
      <c r="E131" s="17" t="n">
        <f aca="false">INT($D131/20)</f>
        <v>6</v>
      </c>
    </row>
    <row r="132" customFormat="false" ht="12.8" hidden="false" customHeight="false" outlineLevel="0" collapsed="false">
      <c r="D132" s="17" t="n">
        <v>130</v>
      </c>
      <c r="E132" s="17" t="n">
        <f aca="false">INT($D132/20)</f>
        <v>6</v>
      </c>
    </row>
    <row r="133" customFormat="false" ht="12.8" hidden="false" customHeight="false" outlineLevel="0" collapsed="false">
      <c r="D133" s="17" t="n">
        <v>131</v>
      </c>
      <c r="E133" s="17" t="n">
        <f aca="false">INT($D133/20)</f>
        <v>6</v>
      </c>
    </row>
    <row r="134" customFormat="false" ht="12.8" hidden="false" customHeight="false" outlineLevel="0" collapsed="false">
      <c r="D134" s="17" t="n">
        <v>132</v>
      </c>
      <c r="E134" s="17" t="n">
        <f aca="false">INT($D134/20)</f>
        <v>6</v>
      </c>
    </row>
    <row r="135" customFormat="false" ht="12.8" hidden="false" customHeight="false" outlineLevel="0" collapsed="false">
      <c r="D135" s="17" t="n">
        <v>133</v>
      </c>
      <c r="E135" s="17" t="n">
        <f aca="false">INT($D135/20)</f>
        <v>6</v>
      </c>
    </row>
    <row r="136" customFormat="false" ht="12.8" hidden="false" customHeight="false" outlineLevel="0" collapsed="false">
      <c r="D136" s="17" t="n">
        <v>134</v>
      </c>
      <c r="E136" s="17" t="n">
        <f aca="false">INT($D136/20)</f>
        <v>6</v>
      </c>
    </row>
    <row r="137" customFormat="false" ht="12.8" hidden="false" customHeight="false" outlineLevel="0" collapsed="false">
      <c r="D137" s="17" t="n">
        <v>135</v>
      </c>
      <c r="E137" s="17" t="n">
        <f aca="false">INT($D137/20)</f>
        <v>6</v>
      </c>
    </row>
    <row r="138" customFormat="false" ht="12.8" hidden="false" customHeight="false" outlineLevel="0" collapsed="false">
      <c r="D138" s="17" t="n">
        <v>136</v>
      </c>
      <c r="E138" s="17" t="n">
        <f aca="false">INT($D138/20)</f>
        <v>6</v>
      </c>
    </row>
    <row r="139" customFormat="false" ht="12.8" hidden="false" customHeight="false" outlineLevel="0" collapsed="false">
      <c r="D139" s="17" t="n">
        <v>137</v>
      </c>
      <c r="E139" s="17" t="n">
        <f aca="false">INT($D139/20)</f>
        <v>6</v>
      </c>
    </row>
    <row r="140" customFormat="false" ht="12.8" hidden="false" customHeight="false" outlineLevel="0" collapsed="false">
      <c r="D140" s="17" t="n">
        <v>138</v>
      </c>
      <c r="E140" s="17" t="n">
        <f aca="false">INT($D140/20)</f>
        <v>6</v>
      </c>
    </row>
    <row r="141" customFormat="false" ht="12.8" hidden="false" customHeight="false" outlineLevel="0" collapsed="false">
      <c r="D141" s="17" t="n">
        <v>139</v>
      </c>
      <c r="E141" s="17" t="n">
        <f aca="false">INT($D141/20)</f>
        <v>6</v>
      </c>
    </row>
    <row r="142" customFormat="false" ht="12.8" hidden="false" customHeight="false" outlineLevel="0" collapsed="false">
      <c r="D142" s="17" t="n">
        <v>140</v>
      </c>
      <c r="E142" s="17" t="n">
        <f aca="false">INT($D142/20)</f>
        <v>7</v>
      </c>
    </row>
    <row r="143" customFormat="false" ht="12.8" hidden="false" customHeight="false" outlineLevel="0" collapsed="false">
      <c r="D143" s="17" t="n">
        <v>141</v>
      </c>
      <c r="E143" s="17" t="n">
        <f aca="false">INT($D143/20)</f>
        <v>7</v>
      </c>
    </row>
    <row r="144" customFormat="false" ht="12.8" hidden="false" customHeight="false" outlineLevel="0" collapsed="false">
      <c r="D144" s="17" t="n">
        <v>142</v>
      </c>
      <c r="E144" s="17" t="n">
        <f aca="false">INT($D144/20)</f>
        <v>7</v>
      </c>
    </row>
    <row r="145" customFormat="false" ht="12.8" hidden="false" customHeight="false" outlineLevel="0" collapsed="false">
      <c r="D145" s="17" t="n">
        <v>143</v>
      </c>
      <c r="E145" s="17" t="n">
        <f aca="false">INT($D145/20)</f>
        <v>7</v>
      </c>
    </row>
    <row r="146" customFormat="false" ht="12.8" hidden="false" customHeight="false" outlineLevel="0" collapsed="false">
      <c r="D146" s="17" t="n">
        <v>144</v>
      </c>
      <c r="E146" s="17" t="n">
        <f aca="false">INT($D146/20)</f>
        <v>7</v>
      </c>
    </row>
    <row r="147" customFormat="false" ht="12.8" hidden="false" customHeight="false" outlineLevel="0" collapsed="false">
      <c r="D147" s="17" t="n">
        <v>145</v>
      </c>
      <c r="E147" s="17" t="n">
        <f aca="false">INT($D147/20)</f>
        <v>7</v>
      </c>
    </row>
    <row r="148" customFormat="false" ht="12.8" hidden="false" customHeight="false" outlineLevel="0" collapsed="false">
      <c r="D148" s="17" t="n">
        <v>146</v>
      </c>
      <c r="E148" s="17" t="n">
        <f aca="false">INT($D148/20)</f>
        <v>7</v>
      </c>
    </row>
    <row r="149" customFormat="false" ht="12.8" hidden="false" customHeight="false" outlineLevel="0" collapsed="false">
      <c r="D149" s="17" t="n">
        <v>147</v>
      </c>
      <c r="E149" s="17" t="n">
        <f aca="false">INT($D149/20)</f>
        <v>7</v>
      </c>
    </row>
    <row r="150" customFormat="false" ht="12.8" hidden="false" customHeight="false" outlineLevel="0" collapsed="false">
      <c r="D150" s="17" t="n">
        <v>148</v>
      </c>
      <c r="E150" s="17" t="n">
        <f aca="false">INT($D150/20)</f>
        <v>7</v>
      </c>
    </row>
    <row r="151" customFormat="false" ht="12.8" hidden="false" customHeight="false" outlineLevel="0" collapsed="false">
      <c r="D151" s="17" t="n">
        <v>149</v>
      </c>
      <c r="E151" s="17" t="n">
        <f aca="false">INT($D151/20)</f>
        <v>7</v>
      </c>
    </row>
    <row r="152" customFormat="false" ht="12.8" hidden="false" customHeight="false" outlineLevel="0" collapsed="false">
      <c r="D152" s="17" t="n">
        <v>150</v>
      </c>
      <c r="E152" s="17" t="n">
        <f aca="false">INT($D152/20)</f>
        <v>7</v>
      </c>
    </row>
    <row r="153" customFormat="false" ht="12.8" hidden="false" customHeight="false" outlineLevel="0" collapsed="false">
      <c r="D153" s="17" t="n">
        <v>151</v>
      </c>
      <c r="E153" s="17" t="n">
        <f aca="false">INT($D153/20)</f>
        <v>7</v>
      </c>
    </row>
    <row r="154" customFormat="false" ht="12.8" hidden="false" customHeight="false" outlineLevel="0" collapsed="false">
      <c r="D154" s="17" t="n">
        <v>152</v>
      </c>
      <c r="E154" s="17" t="n">
        <f aca="false">INT($D154/20)</f>
        <v>7</v>
      </c>
    </row>
    <row r="155" customFormat="false" ht="12.8" hidden="false" customHeight="false" outlineLevel="0" collapsed="false">
      <c r="D155" s="17" t="n">
        <v>153</v>
      </c>
      <c r="E155" s="17" t="n">
        <f aca="false">INT($D155/20)</f>
        <v>7</v>
      </c>
    </row>
    <row r="156" customFormat="false" ht="12.8" hidden="false" customHeight="false" outlineLevel="0" collapsed="false">
      <c r="D156" s="17" t="n">
        <v>154</v>
      </c>
      <c r="E156" s="17" t="n">
        <f aca="false">INT($D156/20)</f>
        <v>7</v>
      </c>
    </row>
    <row r="157" customFormat="false" ht="12.8" hidden="false" customHeight="false" outlineLevel="0" collapsed="false">
      <c r="D157" s="17" t="n">
        <v>155</v>
      </c>
      <c r="E157" s="17" t="n">
        <f aca="false">INT($D157/20)</f>
        <v>7</v>
      </c>
    </row>
    <row r="158" customFormat="false" ht="12.8" hidden="false" customHeight="false" outlineLevel="0" collapsed="false">
      <c r="D158" s="17" t="n">
        <v>156</v>
      </c>
      <c r="E158" s="17" t="n">
        <f aca="false">INT($D158/20)</f>
        <v>7</v>
      </c>
    </row>
    <row r="159" customFormat="false" ht="12.8" hidden="false" customHeight="false" outlineLevel="0" collapsed="false">
      <c r="D159" s="17" t="n">
        <v>157</v>
      </c>
      <c r="E159" s="17" t="n">
        <f aca="false">INT($D159/20)</f>
        <v>7</v>
      </c>
    </row>
    <row r="160" customFormat="false" ht="12.8" hidden="false" customHeight="false" outlineLevel="0" collapsed="false">
      <c r="D160" s="17" t="n">
        <v>158</v>
      </c>
      <c r="E160" s="17" t="n">
        <f aca="false">INT($D160/20)</f>
        <v>7</v>
      </c>
    </row>
    <row r="161" customFormat="false" ht="12.8" hidden="false" customHeight="false" outlineLevel="0" collapsed="false">
      <c r="D161" s="17" t="n">
        <v>159</v>
      </c>
      <c r="E161" s="17" t="n">
        <f aca="false">INT($D161/20)</f>
        <v>7</v>
      </c>
    </row>
    <row r="162" customFormat="false" ht="12.8" hidden="false" customHeight="false" outlineLevel="0" collapsed="false">
      <c r="D162" s="17" t="n">
        <v>160</v>
      </c>
      <c r="E162" s="17" t="n">
        <f aca="false">INT($D162/20)</f>
        <v>8</v>
      </c>
    </row>
    <row r="163" customFormat="false" ht="12.8" hidden="false" customHeight="false" outlineLevel="0" collapsed="false">
      <c r="D163" s="17" t="n">
        <v>161</v>
      </c>
      <c r="E163" s="17" t="n">
        <f aca="false">INT($D163/20)</f>
        <v>8</v>
      </c>
    </row>
    <row r="164" customFormat="false" ht="12.8" hidden="false" customHeight="false" outlineLevel="0" collapsed="false">
      <c r="D164" s="17" t="n">
        <v>162</v>
      </c>
      <c r="E164" s="17" t="n">
        <f aca="false">INT($D164/20)</f>
        <v>8</v>
      </c>
    </row>
    <row r="165" customFormat="false" ht="12.8" hidden="false" customHeight="false" outlineLevel="0" collapsed="false">
      <c r="D165" s="17" t="n">
        <v>163</v>
      </c>
      <c r="E165" s="17" t="n">
        <f aca="false">INT($D165/20)</f>
        <v>8</v>
      </c>
    </row>
    <row r="166" customFormat="false" ht="12.8" hidden="false" customHeight="false" outlineLevel="0" collapsed="false">
      <c r="D166" s="17" t="n">
        <v>164</v>
      </c>
      <c r="E166" s="17" t="n">
        <f aca="false">INT($D166/20)</f>
        <v>8</v>
      </c>
    </row>
    <row r="167" customFormat="false" ht="12.8" hidden="false" customHeight="false" outlineLevel="0" collapsed="false">
      <c r="D167" s="17" t="n">
        <v>165</v>
      </c>
      <c r="E167" s="17" t="n">
        <f aca="false">INT($D167/20)</f>
        <v>8</v>
      </c>
    </row>
    <row r="168" customFormat="false" ht="12.8" hidden="false" customHeight="false" outlineLevel="0" collapsed="false">
      <c r="D168" s="17" t="n">
        <v>166</v>
      </c>
      <c r="E168" s="17" t="n">
        <f aca="false">INT($D168/20)</f>
        <v>8</v>
      </c>
    </row>
    <row r="169" customFormat="false" ht="12.8" hidden="false" customHeight="false" outlineLevel="0" collapsed="false">
      <c r="D169" s="17" t="n">
        <v>167</v>
      </c>
      <c r="E169" s="17" t="n">
        <f aca="false">INT($D169/20)</f>
        <v>8</v>
      </c>
    </row>
    <row r="170" customFormat="false" ht="12.8" hidden="false" customHeight="false" outlineLevel="0" collapsed="false">
      <c r="D170" s="17" t="n">
        <v>168</v>
      </c>
      <c r="E170" s="17" t="n">
        <f aca="false">INT($D170/20)</f>
        <v>8</v>
      </c>
    </row>
    <row r="171" customFormat="false" ht="12.8" hidden="false" customHeight="false" outlineLevel="0" collapsed="false">
      <c r="D171" s="17" t="n">
        <v>169</v>
      </c>
      <c r="E171" s="17" t="n">
        <f aca="false">INT($D171/20)</f>
        <v>8</v>
      </c>
    </row>
    <row r="172" customFormat="false" ht="12.8" hidden="false" customHeight="false" outlineLevel="0" collapsed="false">
      <c r="D172" s="17" t="n">
        <v>170</v>
      </c>
      <c r="E172" s="17" t="n">
        <f aca="false">INT($D172/20)</f>
        <v>8</v>
      </c>
    </row>
    <row r="173" customFormat="false" ht="12.8" hidden="false" customHeight="false" outlineLevel="0" collapsed="false">
      <c r="D173" s="17" t="n">
        <v>171</v>
      </c>
      <c r="E173" s="17" t="n">
        <f aca="false">INT($D173/20)</f>
        <v>8</v>
      </c>
    </row>
    <row r="174" customFormat="false" ht="12.8" hidden="false" customHeight="false" outlineLevel="0" collapsed="false">
      <c r="D174" s="17" t="n">
        <v>172</v>
      </c>
      <c r="E174" s="17" t="n">
        <f aca="false">INT($D174/20)</f>
        <v>8</v>
      </c>
    </row>
    <row r="175" customFormat="false" ht="12.8" hidden="false" customHeight="false" outlineLevel="0" collapsed="false">
      <c r="D175" s="17" t="n">
        <v>173</v>
      </c>
      <c r="E175" s="17" t="n">
        <f aca="false">INT($D175/20)</f>
        <v>8</v>
      </c>
    </row>
    <row r="176" customFormat="false" ht="12.8" hidden="false" customHeight="false" outlineLevel="0" collapsed="false">
      <c r="D176" s="17" t="n">
        <v>174</v>
      </c>
      <c r="E176" s="17" t="n">
        <f aca="false">INT($D176/20)</f>
        <v>8</v>
      </c>
    </row>
    <row r="177" customFormat="false" ht="12.8" hidden="false" customHeight="false" outlineLevel="0" collapsed="false">
      <c r="D177" s="17" t="n">
        <v>175</v>
      </c>
      <c r="E177" s="17" t="n">
        <f aca="false">INT($D177/20)</f>
        <v>8</v>
      </c>
    </row>
    <row r="178" customFormat="false" ht="12.8" hidden="false" customHeight="false" outlineLevel="0" collapsed="false">
      <c r="D178" s="17" t="n">
        <v>176</v>
      </c>
      <c r="E178" s="17" t="n">
        <f aca="false">INT($D178/20)</f>
        <v>8</v>
      </c>
    </row>
    <row r="179" customFormat="false" ht="12.8" hidden="false" customHeight="false" outlineLevel="0" collapsed="false">
      <c r="D179" s="17" t="n">
        <v>177</v>
      </c>
      <c r="E179" s="17" t="n">
        <f aca="false">INT($D179/20)</f>
        <v>8</v>
      </c>
    </row>
    <row r="180" customFormat="false" ht="12.8" hidden="false" customHeight="false" outlineLevel="0" collapsed="false">
      <c r="D180" s="17" t="n">
        <v>178</v>
      </c>
      <c r="E180" s="17" t="n">
        <f aca="false">INT($D180/20)</f>
        <v>8</v>
      </c>
    </row>
    <row r="181" customFormat="false" ht="12.8" hidden="false" customHeight="false" outlineLevel="0" collapsed="false">
      <c r="D181" s="17" t="n">
        <v>179</v>
      </c>
      <c r="E181" s="17" t="n">
        <f aca="false">INT($D181/20)</f>
        <v>8</v>
      </c>
    </row>
    <row r="182" customFormat="false" ht="12.8" hidden="false" customHeight="false" outlineLevel="0" collapsed="false">
      <c r="D182" s="17" t="n">
        <v>180</v>
      </c>
      <c r="E182" s="17" t="n">
        <f aca="false">INT($D182/20)</f>
        <v>9</v>
      </c>
    </row>
    <row r="183" customFormat="false" ht="12.8" hidden="false" customHeight="false" outlineLevel="0" collapsed="false">
      <c r="D183" s="17" t="n">
        <v>181</v>
      </c>
      <c r="E183" s="17" t="n">
        <f aca="false">INT($D183/20)</f>
        <v>9</v>
      </c>
    </row>
    <row r="184" customFormat="false" ht="12.8" hidden="false" customHeight="false" outlineLevel="0" collapsed="false">
      <c r="D184" s="17" t="n">
        <v>182</v>
      </c>
      <c r="E184" s="17" t="n">
        <f aca="false">INT($D184/20)</f>
        <v>9</v>
      </c>
    </row>
    <row r="185" customFormat="false" ht="12.8" hidden="false" customHeight="false" outlineLevel="0" collapsed="false">
      <c r="D185" s="17" t="n">
        <v>183</v>
      </c>
      <c r="E185" s="17" t="n">
        <f aca="false">INT($D185/20)</f>
        <v>9</v>
      </c>
    </row>
    <row r="186" customFormat="false" ht="12.8" hidden="false" customHeight="false" outlineLevel="0" collapsed="false">
      <c r="D186" s="17" t="n">
        <v>184</v>
      </c>
      <c r="E186" s="17" t="n">
        <f aca="false">INT($D186/20)</f>
        <v>9</v>
      </c>
    </row>
    <row r="187" customFormat="false" ht="12.8" hidden="false" customHeight="false" outlineLevel="0" collapsed="false">
      <c r="D187" s="17" t="n">
        <v>185</v>
      </c>
      <c r="E187" s="17" t="n">
        <f aca="false">INT($D187/20)</f>
        <v>9</v>
      </c>
    </row>
    <row r="188" customFormat="false" ht="12.8" hidden="false" customHeight="false" outlineLevel="0" collapsed="false">
      <c r="D188" s="17" t="n">
        <v>186</v>
      </c>
      <c r="E188" s="17" t="n">
        <f aca="false">INT($D188/20)</f>
        <v>9</v>
      </c>
    </row>
    <row r="189" customFormat="false" ht="12.8" hidden="false" customHeight="false" outlineLevel="0" collapsed="false">
      <c r="D189" s="17" t="n">
        <v>187</v>
      </c>
      <c r="E189" s="17" t="n">
        <f aca="false">INT($D189/20)</f>
        <v>9</v>
      </c>
    </row>
    <row r="190" customFormat="false" ht="12.8" hidden="false" customHeight="false" outlineLevel="0" collapsed="false">
      <c r="D190" s="17" t="n">
        <v>188</v>
      </c>
      <c r="E190" s="17" t="n">
        <f aca="false">INT($D190/20)</f>
        <v>9</v>
      </c>
    </row>
    <row r="191" customFormat="false" ht="12.8" hidden="false" customHeight="false" outlineLevel="0" collapsed="false">
      <c r="D191" s="17" t="n">
        <v>189</v>
      </c>
      <c r="E191" s="17" t="n">
        <f aca="false">INT($D191/20)</f>
        <v>9</v>
      </c>
    </row>
    <row r="192" customFormat="false" ht="12.8" hidden="false" customHeight="false" outlineLevel="0" collapsed="false">
      <c r="D192" s="17" t="n">
        <v>190</v>
      </c>
      <c r="E192" s="17" t="n">
        <f aca="false">INT($D192/20)</f>
        <v>9</v>
      </c>
    </row>
    <row r="193" customFormat="false" ht="12.8" hidden="false" customHeight="false" outlineLevel="0" collapsed="false">
      <c r="D193" s="17" t="n">
        <v>191</v>
      </c>
      <c r="E193" s="17" t="n">
        <f aca="false">INT($D193/20)</f>
        <v>9</v>
      </c>
    </row>
    <row r="194" customFormat="false" ht="12.8" hidden="false" customHeight="false" outlineLevel="0" collapsed="false">
      <c r="D194" s="17" t="n">
        <v>192</v>
      </c>
      <c r="E194" s="17" t="n">
        <f aca="false">INT($D194/20)</f>
        <v>9</v>
      </c>
    </row>
    <row r="195" customFormat="false" ht="12.8" hidden="false" customHeight="false" outlineLevel="0" collapsed="false">
      <c r="D195" s="17" t="n">
        <v>193</v>
      </c>
      <c r="E195" s="17" t="n">
        <f aca="false">INT($D195/20)</f>
        <v>9</v>
      </c>
    </row>
    <row r="196" customFormat="false" ht="12.8" hidden="false" customHeight="false" outlineLevel="0" collapsed="false">
      <c r="D196" s="17" t="n">
        <v>194</v>
      </c>
      <c r="E196" s="17" t="n">
        <f aca="false">INT($D196/20)</f>
        <v>9</v>
      </c>
    </row>
    <row r="197" customFormat="false" ht="12.8" hidden="false" customHeight="false" outlineLevel="0" collapsed="false">
      <c r="D197" s="17" t="n">
        <v>195</v>
      </c>
      <c r="E197" s="17" t="n">
        <f aca="false">INT($D197/20)</f>
        <v>9</v>
      </c>
    </row>
    <row r="198" customFormat="false" ht="12.8" hidden="false" customHeight="false" outlineLevel="0" collapsed="false">
      <c r="D198" s="17" t="n">
        <v>196</v>
      </c>
      <c r="E198" s="17" t="n">
        <f aca="false">INT($D198/20)</f>
        <v>9</v>
      </c>
    </row>
    <row r="199" customFormat="false" ht="12.8" hidden="false" customHeight="false" outlineLevel="0" collapsed="false">
      <c r="D199" s="17" t="n">
        <v>197</v>
      </c>
      <c r="E199" s="17" t="n">
        <f aca="false">INT($D199/20)</f>
        <v>9</v>
      </c>
    </row>
    <row r="200" customFormat="false" ht="12.8" hidden="false" customHeight="false" outlineLevel="0" collapsed="false">
      <c r="D200" s="17" t="n">
        <v>198</v>
      </c>
      <c r="E200" s="17" t="n">
        <f aca="false">INT($D200/20)</f>
        <v>9</v>
      </c>
    </row>
    <row r="201" customFormat="false" ht="12.8" hidden="false" customHeight="false" outlineLevel="0" collapsed="false">
      <c r="D201" s="17" t="n">
        <v>199</v>
      </c>
      <c r="E201" s="17" t="n">
        <f aca="false">INT($D201/20)</f>
        <v>9</v>
      </c>
    </row>
    <row r="202" customFormat="false" ht="12.8" hidden="false" customHeight="false" outlineLevel="0" collapsed="false">
      <c r="D202" s="17" t="n">
        <v>200</v>
      </c>
      <c r="E202" s="17" t="n">
        <f aca="false">INT($D202/20)</f>
        <v>10</v>
      </c>
    </row>
    <row r="203" customFormat="false" ht="12.8" hidden="false" customHeight="false" outlineLevel="0" collapsed="false">
      <c r="D203" s="17" t="n">
        <v>201</v>
      </c>
      <c r="E203" s="17" t="n">
        <f aca="false">INT($D203/20)</f>
        <v>10</v>
      </c>
    </row>
    <row r="204" customFormat="false" ht="12.8" hidden="false" customHeight="false" outlineLevel="0" collapsed="false">
      <c r="D204" s="17" t="n">
        <v>202</v>
      </c>
      <c r="E204" s="17" t="n">
        <f aca="false">INT($D204/20)</f>
        <v>10</v>
      </c>
    </row>
    <row r="205" customFormat="false" ht="12.8" hidden="false" customHeight="false" outlineLevel="0" collapsed="false">
      <c r="D205" s="17" t="n">
        <v>203</v>
      </c>
      <c r="E205" s="17" t="n">
        <f aca="false">INT($D205/20)</f>
        <v>10</v>
      </c>
    </row>
    <row r="206" customFormat="false" ht="12.8" hidden="false" customHeight="false" outlineLevel="0" collapsed="false">
      <c r="D206" s="17" t="n">
        <v>204</v>
      </c>
      <c r="E206" s="17" t="n">
        <f aca="false">INT($D206/20)</f>
        <v>10</v>
      </c>
    </row>
    <row r="207" customFormat="false" ht="12.8" hidden="false" customHeight="false" outlineLevel="0" collapsed="false">
      <c r="D207" s="17" t="n">
        <v>205</v>
      </c>
      <c r="E207" s="17" t="n">
        <f aca="false">INT($D207/20)</f>
        <v>10</v>
      </c>
    </row>
    <row r="208" customFormat="false" ht="12.8" hidden="false" customHeight="false" outlineLevel="0" collapsed="false">
      <c r="D208" s="17" t="n">
        <v>206</v>
      </c>
      <c r="E208" s="17" t="n">
        <f aca="false">INT($D208/20)</f>
        <v>10</v>
      </c>
    </row>
    <row r="209" customFormat="false" ht="12.8" hidden="false" customHeight="false" outlineLevel="0" collapsed="false">
      <c r="D209" s="17" t="n">
        <v>207</v>
      </c>
      <c r="E209" s="17" t="n">
        <f aca="false">INT($D209/20)</f>
        <v>10</v>
      </c>
    </row>
    <row r="210" customFormat="false" ht="12.8" hidden="false" customHeight="false" outlineLevel="0" collapsed="false">
      <c r="D210" s="17" t="n">
        <v>208</v>
      </c>
      <c r="E210" s="17" t="n">
        <f aca="false">INT($D210/20)</f>
        <v>10</v>
      </c>
    </row>
    <row r="211" customFormat="false" ht="12.8" hidden="false" customHeight="false" outlineLevel="0" collapsed="false">
      <c r="D211" s="17" t="n">
        <v>209</v>
      </c>
      <c r="E211" s="17" t="n">
        <f aca="false">INT($D211/20)</f>
        <v>10</v>
      </c>
    </row>
    <row r="212" customFormat="false" ht="12.8" hidden="false" customHeight="false" outlineLevel="0" collapsed="false">
      <c r="D212" s="17" t="n">
        <v>210</v>
      </c>
      <c r="E212" s="17" t="n">
        <f aca="false">INT($D212/20)</f>
        <v>10</v>
      </c>
    </row>
    <row r="213" customFormat="false" ht="12.8" hidden="false" customHeight="false" outlineLevel="0" collapsed="false">
      <c r="D213" s="17" t="n">
        <v>211</v>
      </c>
      <c r="E213" s="17" t="n">
        <f aca="false">INT($D213/20)</f>
        <v>10</v>
      </c>
    </row>
    <row r="214" customFormat="false" ht="12.8" hidden="false" customHeight="false" outlineLevel="0" collapsed="false">
      <c r="D214" s="17" t="n">
        <v>212</v>
      </c>
      <c r="E214" s="17" t="n">
        <f aca="false">INT($D214/20)</f>
        <v>10</v>
      </c>
    </row>
    <row r="215" customFormat="false" ht="12.8" hidden="false" customHeight="false" outlineLevel="0" collapsed="false">
      <c r="D215" s="17" t="n">
        <v>213</v>
      </c>
      <c r="E215" s="17" t="n">
        <f aca="false">INT($D215/20)</f>
        <v>10</v>
      </c>
    </row>
    <row r="216" customFormat="false" ht="12.8" hidden="false" customHeight="false" outlineLevel="0" collapsed="false">
      <c r="D216" s="17" t="n">
        <v>214</v>
      </c>
      <c r="E216" s="17" t="n">
        <f aca="false">INT($D216/20)</f>
        <v>10</v>
      </c>
    </row>
    <row r="217" customFormat="false" ht="12.8" hidden="false" customHeight="false" outlineLevel="0" collapsed="false">
      <c r="D217" s="17" t="n">
        <v>215</v>
      </c>
      <c r="E217" s="17" t="n">
        <f aca="false">INT($D217/20)</f>
        <v>10</v>
      </c>
    </row>
    <row r="218" customFormat="false" ht="12.8" hidden="false" customHeight="false" outlineLevel="0" collapsed="false">
      <c r="D218" s="17" t="n">
        <v>216</v>
      </c>
      <c r="E218" s="17" t="n">
        <f aca="false">INT($D218/20)</f>
        <v>10</v>
      </c>
    </row>
    <row r="219" customFormat="false" ht="12.8" hidden="false" customHeight="false" outlineLevel="0" collapsed="false">
      <c r="D219" s="17" t="n">
        <v>217</v>
      </c>
      <c r="E219" s="17" t="n">
        <f aca="false">INT($D219/20)</f>
        <v>10</v>
      </c>
    </row>
    <row r="220" customFormat="false" ht="12.8" hidden="false" customHeight="false" outlineLevel="0" collapsed="false">
      <c r="D220" s="17" t="n">
        <v>218</v>
      </c>
      <c r="E220" s="17" t="n">
        <f aca="false">INT($D220/20)</f>
        <v>10</v>
      </c>
    </row>
    <row r="221" customFormat="false" ht="12.8" hidden="false" customHeight="false" outlineLevel="0" collapsed="false">
      <c r="D221" s="17" t="n">
        <v>219</v>
      </c>
      <c r="E221" s="17" t="n">
        <f aca="false">INT($D221/20)</f>
        <v>10</v>
      </c>
    </row>
    <row r="222" customFormat="false" ht="12.8" hidden="false" customHeight="false" outlineLevel="0" collapsed="false">
      <c r="D222" s="17" t="n">
        <v>220</v>
      </c>
      <c r="E222" s="17" t="n">
        <f aca="false">INT($D222/20)</f>
        <v>11</v>
      </c>
    </row>
    <row r="223" customFormat="false" ht="12.8" hidden="false" customHeight="false" outlineLevel="0" collapsed="false">
      <c r="D223" s="17" t="n">
        <v>221</v>
      </c>
      <c r="E223" s="17" t="n">
        <f aca="false">INT($D223/20)</f>
        <v>11</v>
      </c>
    </row>
    <row r="224" customFormat="false" ht="12.8" hidden="false" customHeight="false" outlineLevel="0" collapsed="false">
      <c r="D224" s="17" t="n">
        <v>222</v>
      </c>
      <c r="E224" s="17" t="n">
        <f aca="false">INT($D224/20)</f>
        <v>11</v>
      </c>
    </row>
    <row r="225" customFormat="false" ht="12.8" hidden="false" customHeight="false" outlineLevel="0" collapsed="false">
      <c r="D225" s="17" t="n">
        <v>223</v>
      </c>
      <c r="E225" s="17" t="n">
        <f aca="false">INT($D225/20)</f>
        <v>11</v>
      </c>
    </row>
    <row r="226" customFormat="false" ht="12.8" hidden="false" customHeight="false" outlineLevel="0" collapsed="false">
      <c r="D226" s="17" t="n">
        <v>224</v>
      </c>
      <c r="E226" s="17" t="n">
        <f aca="false">INT($D226/20)</f>
        <v>11</v>
      </c>
    </row>
    <row r="227" customFormat="false" ht="12.8" hidden="false" customHeight="false" outlineLevel="0" collapsed="false">
      <c r="D227" s="17" t="n">
        <v>225</v>
      </c>
      <c r="E227" s="17" t="n">
        <f aca="false">INT($D227/20)</f>
        <v>11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1377</TotalTime>
  <Application>LibreOffice/6.1.1.2$Linux_X86_64 LibreOffice_project/10$Build-2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2018-09-14T05:19:46Z</dcterms:created>
  <dc:creator>Alfred Reibenschuh</dc:creator>
  <dc:description/>
  <dc:language>de-AT</dc:language>
  <cp:lastModifiedBy>Alfred Reibenschuh</cp:lastModifiedBy>
  <dcterms:modified xsi:type="dcterms:W3CDTF">2018-10-03T02:44:12Z</dcterms:modified>
  <cp:revision>13</cp:revision>
  <dc:subject/>
  <dc:title/>
</cp:coreProperties>
</file>